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165" windowWidth="20655" windowHeight="11760" firstSheet="3" activeTab="6"/>
  </bookViews>
  <sheets>
    <sheet name="Domestic banking system" sheetId="1" r:id="rId1"/>
    <sheet name="External - Balance of Payments" sheetId="2" r:id="rId2"/>
    <sheet name="NIS projections" sheetId="4" r:id="rId3"/>
    <sheet name="Real Economy" sheetId="5" r:id="rId4"/>
    <sheet name="Overdrafts" sheetId="6" r:id="rId5"/>
    <sheet name="Sinking Funds" sheetId="7" r:id="rId6"/>
    <sheet name="Summary of Fiscal adjustment" sheetId="19" r:id="rId7"/>
    <sheet name="Summary of Fiscal" sheetId="20" r:id="rId8"/>
    <sheet name="Fiscal Year Targets" sheetId="21" r:id="rId9"/>
    <sheet name="Budget Measures" sheetId="10" r:id="rId10"/>
    <sheet name="Total Gov Arrears" sheetId="12" r:id="rId11"/>
    <sheet name="Summary Tax Payable" sheetId="13" r:id="rId12"/>
    <sheet name="SOE payables" sheetId="14" r:id="rId13"/>
    <sheet name="CG payables" sheetId="15" r:id="rId14"/>
    <sheet name="CG payables Summary" sheetId="16" r:id="rId15"/>
    <sheet name="NIS Receivables" sheetId="17" r:id="rId16"/>
    <sheet name="SOE receivables" sheetId="18" r:id="rId17"/>
  </sheets>
  <externalReferences>
    <externalReference r:id="rId18"/>
    <externalReference r:id="rId19"/>
  </externalReferences>
  <definedNames>
    <definedName name="_sq1245" localSheetId="6">'Summary of Fiscal adjustment'!#REF!</definedName>
    <definedName name="_sq1245">#REF!</definedName>
    <definedName name="ae" localSheetId="6">'Summary of Fiscal adjustment'!#REF!</definedName>
    <definedName name="ae">#REF!</definedName>
    <definedName name="BV1bl1801" localSheetId="6">'Summary of Fiscal adjustment'!#REF!</definedName>
    <definedName name="BV1bl1801">#REF!</definedName>
    <definedName name="_xlnm.Print_Area" localSheetId="6">'Summary of Fiscal adjustment'!$A$1:$EM$102</definedName>
    <definedName name="_xlnm.Print_Titles" localSheetId="6">'Summary of Fiscal adjustment'!$A:$A</definedName>
  </definedNames>
  <calcPr calcId="145621" fullPrecision="0" concurrentCalc="0"/>
  <extLst>
    <ext xmlns:mx="http://schemas.microsoft.com/office/mac/excel/2008/main" uri="{7523E5D3-25F3-A5E0-1632-64F254C22452}">
      <mx:ArchID Flags="2"/>
    </ext>
  </extLst>
</workbook>
</file>

<file path=xl/calcChain.xml><?xml version="1.0" encoding="utf-8"?>
<calcChain xmlns="http://schemas.openxmlformats.org/spreadsheetml/2006/main">
  <c r="D61" i="18" l="1"/>
  <c r="C61" i="18"/>
  <c r="E58" i="18"/>
  <c r="F58" i="18"/>
  <c r="G58" i="18"/>
  <c r="E57" i="18"/>
  <c r="B57" i="18"/>
  <c r="F57" i="18"/>
  <c r="G57" i="18"/>
  <c r="E56" i="18"/>
  <c r="B56" i="18"/>
  <c r="B61" i="18"/>
  <c r="E55" i="18"/>
  <c r="F55" i="18"/>
  <c r="G55" i="18"/>
  <c r="E54" i="18"/>
  <c r="F54" i="18"/>
  <c r="G54" i="18"/>
  <c r="E53" i="18"/>
  <c r="F53" i="18"/>
  <c r="G53" i="18"/>
  <c r="E52" i="18"/>
  <c r="F52" i="18"/>
  <c r="G52" i="18"/>
  <c r="E51" i="18"/>
  <c r="F51" i="18"/>
  <c r="G51" i="18"/>
  <c r="E50" i="18"/>
  <c r="F50" i="18"/>
  <c r="G50" i="18"/>
  <c r="E49" i="18"/>
  <c r="F49" i="18"/>
  <c r="G49" i="18"/>
  <c r="E48" i="18"/>
  <c r="F48" i="18"/>
  <c r="G48" i="18"/>
  <c r="E47" i="18"/>
  <c r="F47" i="18"/>
  <c r="G47" i="18"/>
  <c r="E46" i="18"/>
  <c r="F46" i="18"/>
  <c r="G46" i="18"/>
  <c r="E45" i="18"/>
  <c r="F45" i="18"/>
  <c r="G45" i="18"/>
  <c r="E44" i="18"/>
  <c r="F44" i="18"/>
  <c r="G44" i="18"/>
  <c r="E43" i="18"/>
  <c r="F43" i="18"/>
  <c r="G43" i="18"/>
  <c r="E42" i="18"/>
  <c r="F42" i="18"/>
  <c r="G42" i="18"/>
  <c r="E41" i="18"/>
  <c r="F41" i="18"/>
  <c r="G41" i="18"/>
  <c r="E40" i="18"/>
  <c r="F40" i="18"/>
  <c r="G40" i="18"/>
  <c r="E39" i="18"/>
  <c r="F39" i="18"/>
  <c r="G39" i="18"/>
  <c r="E38" i="18"/>
  <c r="F38" i="18"/>
  <c r="G38" i="18"/>
  <c r="E37" i="18"/>
  <c r="F37" i="18"/>
  <c r="G37" i="18"/>
  <c r="E36" i="18"/>
  <c r="F36" i="18"/>
  <c r="G36" i="18"/>
  <c r="E35" i="18"/>
  <c r="F35" i="18"/>
  <c r="G35" i="18"/>
  <c r="E34" i="18"/>
  <c r="F34" i="18"/>
  <c r="G34" i="18"/>
  <c r="E33" i="18"/>
  <c r="F33" i="18"/>
  <c r="G33" i="18"/>
  <c r="E32" i="18"/>
  <c r="F32" i="18"/>
  <c r="G32" i="18"/>
  <c r="E31" i="18"/>
  <c r="F31" i="18"/>
  <c r="G31" i="18"/>
  <c r="E30" i="18"/>
  <c r="F30" i="18"/>
  <c r="G30" i="18"/>
  <c r="E29" i="18"/>
  <c r="F29" i="18"/>
  <c r="G29" i="18"/>
  <c r="E28" i="18"/>
  <c r="F28" i="18"/>
  <c r="G28" i="18"/>
  <c r="E27" i="18"/>
  <c r="F27" i="18"/>
  <c r="G27" i="18"/>
  <c r="E26" i="18"/>
  <c r="F26" i="18"/>
  <c r="G26" i="18"/>
  <c r="E25" i="18"/>
  <c r="F25" i="18"/>
  <c r="G25" i="18"/>
  <c r="E24" i="18"/>
  <c r="F24" i="18"/>
  <c r="G24" i="18"/>
  <c r="E23" i="18"/>
  <c r="F23" i="18"/>
  <c r="G23" i="18"/>
  <c r="E22" i="18"/>
  <c r="F22" i="18"/>
  <c r="G22" i="18"/>
  <c r="E21" i="18"/>
  <c r="F21" i="18"/>
  <c r="G21" i="18"/>
  <c r="E20" i="18"/>
  <c r="F20" i="18"/>
  <c r="G20" i="18"/>
  <c r="E19" i="18"/>
  <c r="F19" i="18"/>
  <c r="G19" i="18"/>
  <c r="E18" i="18"/>
  <c r="F18" i="18"/>
  <c r="G18" i="18"/>
  <c r="E17" i="18"/>
  <c r="F17" i="18"/>
  <c r="G17" i="18"/>
  <c r="E16" i="18"/>
  <c r="F16" i="18"/>
  <c r="G16" i="18"/>
  <c r="E15" i="18"/>
  <c r="F15" i="18"/>
  <c r="G15" i="18"/>
  <c r="F14" i="18"/>
  <c r="G14" i="18"/>
  <c r="E13" i="18"/>
  <c r="F13" i="18"/>
  <c r="G13" i="18"/>
  <c r="F12" i="18"/>
  <c r="G12" i="18"/>
  <c r="F11" i="18"/>
  <c r="G11" i="18"/>
  <c r="E10" i="18"/>
  <c r="F10" i="18"/>
  <c r="G10" i="18"/>
  <c r="E9" i="18"/>
  <c r="F9" i="18"/>
  <c r="G9" i="18"/>
  <c r="E8" i="18"/>
  <c r="F8" i="18"/>
  <c r="G8" i="18"/>
  <c r="E7" i="18"/>
  <c r="F7" i="18"/>
  <c r="G7" i="18"/>
  <c r="E6" i="18"/>
  <c r="F6" i="18"/>
  <c r="G6" i="18"/>
  <c r="E5" i="18"/>
  <c r="F5" i="18"/>
  <c r="G5" i="18"/>
  <c r="E4" i="18"/>
  <c r="F4" i="18"/>
  <c r="G4" i="18"/>
  <c r="E3" i="18"/>
  <c r="F3" i="18"/>
  <c r="G3" i="18"/>
  <c r="E2" i="18"/>
  <c r="F2" i="18"/>
  <c r="E61" i="18"/>
  <c r="G19" i="17"/>
  <c r="F17" i="17"/>
  <c r="E17" i="17"/>
  <c r="E20" i="17"/>
  <c r="D17" i="17"/>
  <c r="D20" i="17"/>
  <c r="C17" i="17"/>
  <c r="C20" i="17"/>
  <c r="G20" i="17"/>
  <c r="G16" i="17"/>
  <c r="G15" i="17"/>
  <c r="G14" i="17"/>
  <c r="G13" i="17"/>
  <c r="G12" i="17"/>
  <c r="G11" i="17"/>
  <c r="G10" i="17"/>
  <c r="G9" i="17"/>
  <c r="G8" i="17"/>
  <c r="G7" i="17"/>
  <c r="G6" i="17"/>
  <c r="G5" i="17"/>
  <c r="G4" i="17"/>
  <c r="G3" i="17"/>
  <c r="G17" i="17"/>
  <c r="L14" i="16"/>
  <c r="H11" i="16"/>
  <c r="L9" i="16"/>
  <c r="L8" i="16"/>
  <c r="D8" i="16"/>
  <c r="H8" i="16"/>
  <c r="D7" i="16"/>
  <c r="L15" i="16"/>
  <c r="H6" i="16"/>
  <c r="B87" i="15"/>
  <c r="B88" i="15"/>
  <c r="B91" i="15"/>
  <c r="H15" i="14"/>
  <c r="L13" i="14"/>
  <c r="M13" i="14"/>
  <c r="N13" i="14"/>
  <c r="L12" i="14"/>
  <c r="M12" i="14"/>
  <c r="N12" i="14"/>
  <c r="M11" i="14"/>
  <c r="N11" i="14"/>
  <c r="L10" i="14"/>
  <c r="M10" i="14"/>
  <c r="N10" i="14"/>
  <c r="M9" i="14"/>
  <c r="N9" i="14"/>
  <c r="L8" i="14"/>
  <c r="M8" i="14"/>
  <c r="N8" i="14"/>
  <c r="M7" i="14"/>
  <c r="N7" i="14"/>
  <c r="K6" i="14"/>
  <c r="K15" i="14"/>
  <c r="J6" i="14"/>
  <c r="J15" i="14"/>
  <c r="I6" i="14"/>
  <c r="I15" i="14"/>
  <c r="C12" i="13"/>
  <c r="B11" i="13"/>
  <c r="B12" i="13"/>
  <c r="D10" i="13"/>
  <c r="D9" i="13"/>
  <c r="D8" i="13"/>
  <c r="D7" i="13"/>
  <c r="B8" i="12"/>
  <c r="B5" i="12"/>
  <c r="B4" i="12"/>
  <c r="B3" i="12"/>
  <c r="B2" i="12"/>
  <c r="B6" i="12"/>
  <c r="B9" i="12"/>
  <c r="F56" i="18"/>
  <c r="F61" i="18"/>
  <c r="G56" i="18"/>
  <c r="G2" i="18"/>
  <c r="G61" i="18"/>
  <c r="H7" i="16"/>
  <c r="L6" i="14"/>
  <c r="L15" i="14"/>
  <c r="D11" i="13"/>
  <c r="D12" i="13"/>
  <c r="M6" i="14"/>
  <c r="M15" i="14"/>
  <c r="N6" i="14"/>
  <c r="N15" i="14"/>
  <c r="E47" i="10"/>
  <c r="C47" i="10"/>
  <c r="E46" i="10"/>
  <c r="C46" i="10"/>
  <c r="E45" i="10"/>
  <c r="C45" i="10"/>
  <c r="E44" i="10"/>
  <c r="C44" i="10"/>
  <c r="E43" i="10"/>
  <c r="C43" i="10"/>
  <c r="E42" i="10"/>
  <c r="C42" i="10"/>
  <c r="E41" i="10"/>
  <c r="C41" i="10"/>
  <c r="D40" i="10"/>
  <c r="E40" i="10"/>
  <c r="C40" i="10"/>
  <c r="E39" i="10"/>
  <c r="C39" i="10"/>
  <c r="E38" i="10"/>
  <c r="C38" i="10"/>
  <c r="E37" i="10"/>
  <c r="C37" i="10"/>
  <c r="D36" i="10"/>
  <c r="D20" i="10"/>
  <c r="D19" i="10"/>
  <c r="E19" i="10"/>
  <c r="B36" i="10"/>
  <c r="C36" i="10"/>
  <c r="E35" i="10"/>
  <c r="C35" i="10"/>
  <c r="E34" i="10"/>
  <c r="C34" i="10"/>
  <c r="E33" i="10"/>
  <c r="C33" i="10"/>
  <c r="E32" i="10"/>
  <c r="C32" i="10"/>
  <c r="E31" i="10"/>
  <c r="C31" i="10"/>
  <c r="E30" i="10"/>
  <c r="C30" i="10"/>
  <c r="E29" i="10"/>
  <c r="C29" i="10"/>
  <c r="E28" i="10"/>
  <c r="C28" i="10"/>
  <c r="E27" i="10"/>
  <c r="C27" i="10"/>
  <c r="E26" i="10"/>
  <c r="C26" i="10"/>
  <c r="E25" i="10"/>
  <c r="C25" i="10"/>
  <c r="E24" i="10"/>
  <c r="B24" i="10"/>
  <c r="C24" i="10"/>
  <c r="E23" i="10"/>
  <c r="C23" i="10"/>
  <c r="E22" i="10"/>
  <c r="C22" i="10"/>
  <c r="E20" i="10"/>
  <c r="B20" i="10"/>
  <c r="C20" i="10"/>
  <c r="E16" i="10"/>
  <c r="C16" i="10"/>
  <c r="D15" i="10"/>
  <c r="E15" i="10"/>
  <c r="C15" i="10"/>
  <c r="E14" i="10"/>
  <c r="C14" i="10"/>
  <c r="E13" i="10"/>
  <c r="C13" i="10"/>
  <c r="D12" i="10"/>
  <c r="E12" i="10"/>
  <c r="C12" i="10"/>
  <c r="E11" i="10"/>
  <c r="C11" i="10"/>
  <c r="E10" i="10"/>
  <c r="C10" i="10"/>
  <c r="E9" i="10"/>
  <c r="C9" i="10"/>
  <c r="E8" i="10"/>
  <c r="C8" i="10"/>
  <c r="E7" i="10"/>
  <c r="C7" i="10"/>
  <c r="E6" i="10"/>
  <c r="C6" i="10"/>
  <c r="D5" i="10"/>
  <c r="E5" i="10"/>
  <c r="C5" i="10"/>
  <c r="D4" i="10"/>
  <c r="D3" i="10"/>
  <c r="B4" i="10"/>
  <c r="C4" i="10"/>
  <c r="E4" i="10"/>
  <c r="B19" i="10"/>
  <c r="C19" i="10"/>
  <c r="E36" i="10"/>
  <c r="O82" i="7"/>
  <c r="L82" i="7"/>
  <c r="C82" i="7"/>
  <c r="N81" i="7"/>
  <c r="P81" i="7"/>
  <c r="M81" i="7"/>
  <c r="E81" i="7"/>
  <c r="G81" i="7"/>
  <c r="I81" i="7"/>
  <c r="F81" i="7"/>
  <c r="H81" i="7"/>
  <c r="D81" i="7"/>
  <c r="R81" i="7"/>
  <c r="E80" i="7"/>
  <c r="N80" i="7"/>
  <c r="S80" i="7"/>
  <c r="P80" i="7"/>
  <c r="M80" i="7"/>
  <c r="D80" i="7"/>
  <c r="R80" i="7"/>
  <c r="F80" i="7"/>
  <c r="G80" i="7"/>
  <c r="I80" i="7"/>
  <c r="D79" i="7"/>
  <c r="M79" i="7"/>
  <c r="R79" i="7"/>
  <c r="N79" i="7"/>
  <c r="P79" i="7"/>
  <c r="F79" i="7"/>
  <c r="E79" i="7"/>
  <c r="N78" i="7"/>
  <c r="P78" i="7"/>
  <c r="M78" i="7"/>
  <c r="E78" i="7"/>
  <c r="H78" i="7"/>
  <c r="G78" i="7"/>
  <c r="I78" i="7"/>
  <c r="F78" i="7"/>
  <c r="S78" i="7"/>
  <c r="D78" i="7"/>
  <c r="R78" i="7"/>
  <c r="N77" i="7"/>
  <c r="P77" i="7"/>
  <c r="M77" i="7"/>
  <c r="E77" i="7"/>
  <c r="G77" i="7"/>
  <c r="I77" i="7"/>
  <c r="F77" i="7"/>
  <c r="H77" i="7"/>
  <c r="D77" i="7"/>
  <c r="R77" i="7"/>
  <c r="E76" i="7"/>
  <c r="N76" i="7"/>
  <c r="S76" i="7"/>
  <c r="P76" i="7"/>
  <c r="M76" i="7"/>
  <c r="G76" i="7"/>
  <c r="I76" i="7"/>
  <c r="F76" i="7"/>
  <c r="H76" i="7"/>
  <c r="D76" i="7"/>
  <c r="R76" i="7"/>
  <c r="D75" i="7"/>
  <c r="M75" i="7"/>
  <c r="R75" i="7"/>
  <c r="N75" i="7"/>
  <c r="P75" i="7"/>
  <c r="F75" i="7"/>
  <c r="E75" i="7"/>
  <c r="N74" i="7"/>
  <c r="P74" i="7"/>
  <c r="M74" i="7"/>
  <c r="E74" i="7"/>
  <c r="H74" i="7"/>
  <c r="F74" i="7"/>
  <c r="G74" i="7"/>
  <c r="I74" i="7"/>
  <c r="D74" i="7"/>
  <c r="R74" i="7"/>
  <c r="N73" i="7"/>
  <c r="P73" i="7"/>
  <c r="M73" i="7"/>
  <c r="E73" i="7"/>
  <c r="G73" i="7"/>
  <c r="I73" i="7"/>
  <c r="F73" i="7"/>
  <c r="H73" i="7"/>
  <c r="D73" i="7"/>
  <c r="R73" i="7"/>
  <c r="E72" i="7"/>
  <c r="N72" i="7"/>
  <c r="S72" i="7"/>
  <c r="P72" i="7"/>
  <c r="M72" i="7"/>
  <c r="H72" i="7"/>
  <c r="G72" i="7"/>
  <c r="I72" i="7"/>
  <c r="F72" i="7"/>
  <c r="D72" i="7"/>
  <c r="R72" i="7"/>
  <c r="D71" i="7"/>
  <c r="M71" i="7"/>
  <c r="R71" i="7"/>
  <c r="N71" i="7"/>
  <c r="P71" i="7"/>
  <c r="F71" i="7"/>
  <c r="E71" i="7"/>
  <c r="N70" i="7"/>
  <c r="P70" i="7"/>
  <c r="M70" i="7"/>
  <c r="E70" i="7"/>
  <c r="H70" i="7"/>
  <c r="F70" i="7"/>
  <c r="G70" i="7"/>
  <c r="I70" i="7"/>
  <c r="D70" i="7"/>
  <c r="R70" i="7"/>
  <c r="N69" i="7"/>
  <c r="P69" i="7"/>
  <c r="M69" i="7"/>
  <c r="E69" i="7"/>
  <c r="G69" i="7"/>
  <c r="I69" i="7"/>
  <c r="F69" i="7"/>
  <c r="H69" i="7"/>
  <c r="D69" i="7"/>
  <c r="R69" i="7"/>
  <c r="E68" i="7"/>
  <c r="N68" i="7"/>
  <c r="S68" i="7"/>
  <c r="P68" i="7"/>
  <c r="M68" i="7"/>
  <c r="H68" i="7"/>
  <c r="F68" i="7"/>
  <c r="G68" i="7"/>
  <c r="I68" i="7"/>
  <c r="D68" i="7"/>
  <c r="R68" i="7"/>
  <c r="D67" i="7"/>
  <c r="M67" i="7"/>
  <c r="R67" i="7"/>
  <c r="N67" i="7"/>
  <c r="P67" i="7"/>
  <c r="F67" i="7"/>
  <c r="E67" i="7"/>
  <c r="N66" i="7"/>
  <c r="P66" i="7"/>
  <c r="M66" i="7"/>
  <c r="E66" i="7"/>
  <c r="H66" i="7"/>
  <c r="F66" i="7"/>
  <c r="G66" i="7"/>
  <c r="I66" i="7"/>
  <c r="D66" i="7"/>
  <c r="R66" i="7"/>
  <c r="N65" i="7"/>
  <c r="P65" i="7"/>
  <c r="M65" i="7"/>
  <c r="E65" i="7"/>
  <c r="G65" i="7"/>
  <c r="I65" i="7"/>
  <c r="F65" i="7"/>
  <c r="H65" i="7"/>
  <c r="D65" i="7"/>
  <c r="R65" i="7"/>
  <c r="E64" i="7"/>
  <c r="N64" i="7"/>
  <c r="S64" i="7"/>
  <c r="P64" i="7"/>
  <c r="M64" i="7"/>
  <c r="F64" i="7"/>
  <c r="G64" i="7"/>
  <c r="I64" i="7"/>
  <c r="D64" i="7"/>
  <c r="R64" i="7"/>
  <c r="D63" i="7"/>
  <c r="M63" i="7"/>
  <c r="R63" i="7"/>
  <c r="N63" i="7"/>
  <c r="P63" i="7"/>
  <c r="F63" i="7"/>
  <c r="E63" i="7"/>
  <c r="N62" i="7"/>
  <c r="P62" i="7"/>
  <c r="M62" i="7"/>
  <c r="E62" i="7"/>
  <c r="H62" i="7"/>
  <c r="F62" i="7"/>
  <c r="G62" i="7"/>
  <c r="I62" i="7"/>
  <c r="D62" i="7"/>
  <c r="R62" i="7"/>
  <c r="N61" i="7"/>
  <c r="P61" i="7"/>
  <c r="M61" i="7"/>
  <c r="E61" i="7"/>
  <c r="G61" i="7"/>
  <c r="I61" i="7"/>
  <c r="F61" i="7"/>
  <c r="H61" i="7"/>
  <c r="D61" i="7"/>
  <c r="R61" i="7"/>
  <c r="E60" i="7"/>
  <c r="N60" i="7"/>
  <c r="S60" i="7"/>
  <c r="P60" i="7"/>
  <c r="M60" i="7"/>
  <c r="F60" i="7"/>
  <c r="G60" i="7"/>
  <c r="I60" i="7"/>
  <c r="D60" i="7"/>
  <c r="R60" i="7"/>
  <c r="D59" i="7"/>
  <c r="M59" i="7"/>
  <c r="R59" i="7"/>
  <c r="N59" i="7"/>
  <c r="P59" i="7"/>
  <c r="F59" i="7"/>
  <c r="E59" i="7"/>
  <c r="N58" i="7"/>
  <c r="P58" i="7"/>
  <c r="M58" i="7"/>
  <c r="E58" i="7"/>
  <c r="H58" i="7"/>
  <c r="F58" i="7"/>
  <c r="G58" i="7"/>
  <c r="I58" i="7"/>
  <c r="D58" i="7"/>
  <c r="R58" i="7"/>
  <c r="N57" i="7"/>
  <c r="P57" i="7"/>
  <c r="M57" i="7"/>
  <c r="E57" i="7"/>
  <c r="G57" i="7"/>
  <c r="I57" i="7"/>
  <c r="F57" i="7"/>
  <c r="H57" i="7"/>
  <c r="D57" i="7"/>
  <c r="R57" i="7"/>
  <c r="E56" i="7"/>
  <c r="N56" i="7"/>
  <c r="S56" i="7"/>
  <c r="P56" i="7"/>
  <c r="M56" i="7"/>
  <c r="H56" i="7"/>
  <c r="G56" i="7"/>
  <c r="I56" i="7"/>
  <c r="F56" i="7"/>
  <c r="D56" i="7"/>
  <c r="D55" i="7"/>
  <c r="M55" i="7"/>
  <c r="R55" i="7"/>
  <c r="N55" i="7"/>
  <c r="P55" i="7"/>
  <c r="F55" i="7"/>
  <c r="E55" i="7"/>
  <c r="N54" i="7"/>
  <c r="P54" i="7"/>
  <c r="M54" i="7"/>
  <c r="E54" i="7"/>
  <c r="H54" i="7"/>
  <c r="F54" i="7"/>
  <c r="G54" i="7"/>
  <c r="I54" i="7"/>
  <c r="D54" i="7"/>
  <c r="R54" i="7"/>
  <c r="N53" i="7"/>
  <c r="P53" i="7"/>
  <c r="M53" i="7"/>
  <c r="E53" i="7"/>
  <c r="G53" i="7"/>
  <c r="I53" i="7"/>
  <c r="F53" i="7"/>
  <c r="H53" i="7"/>
  <c r="D53" i="7"/>
  <c r="R53" i="7"/>
  <c r="E52" i="7"/>
  <c r="N52" i="7"/>
  <c r="S52" i="7"/>
  <c r="P52" i="7"/>
  <c r="M52" i="7"/>
  <c r="F52" i="7"/>
  <c r="G52" i="7"/>
  <c r="I52" i="7"/>
  <c r="D52" i="7"/>
  <c r="R52" i="7"/>
  <c r="D51" i="7"/>
  <c r="M51" i="7"/>
  <c r="R51" i="7"/>
  <c r="N51" i="7"/>
  <c r="P51" i="7"/>
  <c r="F51" i="7"/>
  <c r="E51" i="7"/>
  <c r="N50" i="7"/>
  <c r="P50" i="7"/>
  <c r="E50" i="7"/>
  <c r="S50" i="7"/>
  <c r="M50" i="7"/>
  <c r="H50" i="7"/>
  <c r="G50" i="7"/>
  <c r="I50" i="7"/>
  <c r="F50" i="7"/>
  <c r="D50" i="7"/>
  <c r="R50" i="7"/>
  <c r="D49" i="7"/>
  <c r="M49" i="7"/>
  <c r="R49" i="7"/>
  <c r="N49" i="7"/>
  <c r="P49" i="7"/>
  <c r="E49" i="7"/>
  <c r="G49" i="7"/>
  <c r="I49" i="7"/>
  <c r="F49" i="7"/>
  <c r="H49" i="7"/>
  <c r="E48" i="7"/>
  <c r="N48" i="7"/>
  <c r="S48" i="7"/>
  <c r="P48" i="7"/>
  <c r="M48" i="7"/>
  <c r="H48" i="7"/>
  <c r="F48" i="7"/>
  <c r="G48" i="7"/>
  <c r="I48" i="7"/>
  <c r="D48" i="7"/>
  <c r="R48" i="7"/>
  <c r="D47" i="7"/>
  <c r="M47" i="7"/>
  <c r="R47" i="7"/>
  <c r="N47" i="7"/>
  <c r="P47" i="7"/>
  <c r="F47" i="7"/>
  <c r="E47" i="7"/>
  <c r="E46" i="7"/>
  <c r="N46" i="7"/>
  <c r="S46" i="7"/>
  <c r="P46" i="7"/>
  <c r="M46" i="7"/>
  <c r="H46" i="7"/>
  <c r="G46" i="7"/>
  <c r="I46" i="7"/>
  <c r="F46" i="7"/>
  <c r="D46" i="7"/>
  <c r="R46" i="7"/>
  <c r="D45" i="7"/>
  <c r="M45" i="7"/>
  <c r="R45" i="7"/>
  <c r="N45" i="7"/>
  <c r="P45" i="7"/>
  <c r="E45" i="7"/>
  <c r="G45" i="7"/>
  <c r="I45" i="7"/>
  <c r="F45" i="7"/>
  <c r="H45" i="7"/>
  <c r="E44" i="7"/>
  <c r="N44" i="7"/>
  <c r="S44" i="7"/>
  <c r="P44" i="7"/>
  <c r="M44" i="7"/>
  <c r="H44" i="7"/>
  <c r="F44" i="7"/>
  <c r="G44" i="7"/>
  <c r="I44" i="7"/>
  <c r="D44" i="7"/>
  <c r="R44" i="7"/>
  <c r="D43" i="7"/>
  <c r="M43" i="7"/>
  <c r="R43" i="7"/>
  <c r="N43" i="7"/>
  <c r="P43" i="7"/>
  <c r="F43" i="7"/>
  <c r="E43" i="7"/>
  <c r="N42" i="7"/>
  <c r="P42" i="7"/>
  <c r="M42" i="7"/>
  <c r="E42" i="7"/>
  <c r="H42" i="7"/>
  <c r="G42" i="7"/>
  <c r="I42" i="7"/>
  <c r="F42" i="7"/>
  <c r="S42" i="7"/>
  <c r="D42" i="7"/>
  <c r="R42" i="7"/>
  <c r="N41" i="7"/>
  <c r="P41" i="7"/>
  <c r="M41" i="7"/>
  <c r="E41" i="7"/>
  <c r="G41" i="7"/>
  <c r="I41" i="7"/>
  <c r="F41" i="7"/>
  <c r="H41" i="7"/>
  <c r="D41" i="7"/>
  <c r="R41" i="7"/>
  <c r="E40" i="7"/>
  <c r="N40" i="7"/>
  <c r="S40" i="7"/>
  <c r="P40" i="7"/>
  <c r="M40" i="7"/>
  <c r="F40" i="7"/>
  <c r="G40" i="7"/>
  <c r="I40" i="7"/>
  <c r="D40" i="7"/>
  <c r="R40" i="7"/>
  <c r="D39" i="7"/>
  <c r="M39" i="7"/>
  <c r="R39" i="7"/>
  <c r="N39" i="7"/>
  <c r="P39" i="7"/>
  <c r="F39" i="7"/>
  <c r="E39" i="7"/>
  <c r="N38" i="7"/>
  <c r="P38" i="7"/>
  <c r="M38" i="7"/>
  <c r="E38" i="7"/>
  <c r="H38" i="7"/>
  <c r="G38" i="7"/>
  <c r="I38" i="7"/>
  <c r="F38" i="7"/>
  <c r="S38" i="7"/>
  <c r="D38" i="7"/>
  <c r="R38" i="7"/>
  <c r="N37" i="7"/>
  <c r="P37" i="7"/>
  <c r="M37" i="7"/>
  <c r="E37" i="7"/>
  <c r="G37" i="7"/>
  <c r="I37" i="7"/>
  <c r="F37" i="7"/>
  <c r="H37" i="7"/>
  <c r="D37" i="7"/>
  <c r="R37" i="7"/>
  <c r="E36" i="7"/>
  <c r="N36" i="7"/>
  <c r="S36" i="7"/>
  <c r="P36" i="7"/>
  <c r="M36" i="7"/>
  <c r="F36" i="7"/>
  <c r="G36" i="7"/>
  <c r="I36" i="7"/>
  <c r="D36" i="7"/>
  <c r="D35" i="7"/>
  <c r="M35" i="7"/>
  <c r="R35" i="7"/>
  <c r="N35" i="7"/>
  <c r="P35" i="7"/>
  <c r="F35" i="7"/>
  <c r="E35" i="7"/>
  <c r="N34" i="7"/>
  <c r="P34" i="7"/>
  <c r="M34" i="7"/>
  <c r="E34" i="7"/>
  <c r="H34" i="7"/>
  <c r="G34" i="7"/>
  <c r="I34" i="7"/>
  <c r="F34" i="7"/>
  <c r="S34" i="7"/>
  <c r="D34" i="7"/>
  <c r="R34" i="7"/>
  <c r="N33" i="7"/>
  <c r="P33" i="7"/>
  <c r="M33" i="7"/>
  <c r="E33" i="7"/>
  <c r="G33" i="7"/>
  <c r="I33" i="7"/>
  <c r="F33" i="7"/>
  <c r="H33" i="7"/>
  <c r="D33" i="7"/>
  <c r="R33" i="7"/>
  <c r="E32" i="7"/>
  <c r="N32" i="7"/>
  <c r="S32" i="7"/>
  <c r="P32" i="7"/>
  <c r="M32" i="7"/>
  <c r="G32" i="7"/>
  <c r="I32" i="7"/>
  <c r="F32" i="7"/>
  <c r="H32" i="7"/>
  <c r="D32" i="7"/>
  <c r="R32" i="7"/>
  <c r="D31" i="7"/>
  <c r="M31" i="7"/>
  <c r="R31" i="7"/>
  <c r="N31" i="7"/>
  <c r="P31" i="7"/>
  <c r="F31" i="7"/>
  <c r="E31" i="7"/>
  <c r="N30" i="7"/>
  <c r="P30" i="7"/>
  <c r="M30" i="7"/>
  <c r="E30" i="7"/>
  <c r="H30" i="7"/>
  <c r="F30" i="7"/>
  <c r="G30" i="7"/>
  <c r="I30" i="7"/>
  <c r="D30" i="7"/>
  <c r="R30" i="7"/>
  <c r="N29" i="7"/>
  <c r="P29" i="7"/>
  <c r="M29" i="7"/>
  <c r="E29" i="7"/>
  <c r="G29" i="7"/>
  <c r="I29" i="7"/>
  <c r="F29" i="7"/>
  <c r="H29" i="7"/>
  <c r="D29" i="7"/>
  <c r="R29" i="7"/>
  <c r="E28" i="7"/>
  <c r="N28" i="7"/>
  <c r="S28" i="7"/>
  <c r="P28" i="7"/>
  <c r="M28" i="7"/>
  <c r="G28" i="7"/>
  <c r="I28" i="7"/>
  <c r="F28" i="7"/>
  <c r="H28" i="7"/>
  <c r="D28" i="7"/>
  <c r="D27" i="7"/>
  <c r="M27" i="7"/>
  <c r="R27" i="7"/>
  <c r="N27" i="7"/>
  <c r="P27" i="7"/>
  <c r="F27" i="7"/>
  <c r="E27" i="7"/>
  <c r="N26" i="7"/>
  <c r="P26" i="7"/>
  <c r="M26" i="7"/>
  <c r="F26" i="7"/>
  <c r="E26" i="7"/>
  <c r="H26" i="7"/>
  <c r="D26" i="7"/>
  <c r="R26" i="7"/>
  <c r="D25" i="7"/>
  <c r="M25" i="7"/>
  <c r="R25" i="7"/>
  <c r="N25" i="7"/>
  <c r="P25" i="7"/>
  <c r="F25" i="7"/>
  <c r="E25" i="7"/>
  <c r="H25" i="7"/>
  <c r="E24" i="7"/>
  <c r="N24" i="7"/>
  <c r="S24" i="7"/>
  <c r="P24" i="7"/>
  <c r="M24" i="7"/>
  <c r="H24" i="7"/>
  <c r="F24" i="7"/>
  <c r="G24" i="7"/>
  <c r="I24" i="7"/>
  <c r="D24" i="7"/>
  <c r="R24" i="7"/>
  <c r="D23" i="7"/>
  <c r="M23" i="7"/>
  <c r="R23" i="7"/>
  <c r="N23" i="7"/>
  <c r="P23" i="7"/>
  <c r="F23" i="7"/>
  <c r="E23" i="7"/>
  <c r="S23" i="7"/>
  <c r="E22" i="7"/>
  <c r="N22" i="7"/>
  <c r="S22" i="7"/>
  <c r="P22" i="7"/>
  <c r="M22" i="7"/>
  <c r="H22" i="7"/>
  <c r="G22" i="7"/>
  <c r="I22" i="7"/>
  <c r="F22" i="7"/>
  <c r="D22" i="7"/>
  <c r="R22" i="7"/>
  <c r="D21" i="7"/>
  <c r="M21" i="7"/>
  <c r="R21" i="7"/>
  <c r="N21" i="7"/>
  <c r="P21" i="7"/>
  <c r="E21" i="7"/>
  <c r="G21" i="7"/>
  <c r="I21" i="7"/>
  <c r="F21" i="7"/>
  <c r="H21" i="7"/>
  <c r="E20" i="7"/>
  <c r="N20" i="7"/>
  <c r="S20" i="7"/>
  <c r="P20" i="7"/>
  <c r="M20" i="7"/>
  <c r="H20" i="7"/>
  <c r="F20" i="7"/>
  <c r="G20" i="7"/>
  <c r="I20" i="7"/>
  <c r="D20" i="7"/>
  <c r="R20" i="7"/>
  <c r="D19" i="7"/>
  <c r="M19" i="7"/>
  <c r="R19" i="7"/>
  <c r="N19" i="7"/>
  <c r="P19" i="7"/>
  <c r="F19" i="7"/>
  <c r="E19" i="7"/>
  <c r="S19" i="7"/>
  <c r="E18" i="7"/>
  <c r="N18" i="7"/>
  <c r="S18" i="7"/>
  <c r="P18" i="7"/>
  <c r="M18" i="7"/>
  <c r="H18" i="7"/>
  <c r="F18" i="7"/>
  <c r="G18" i="7"/>
  <c r="I18" i="7"/>
  <c r="D18" i="7"/>
  <c r="R18" i="7"/>
  <c r="D17" i="7"/>
  <c r="M17" i="7"/>
  <c r="R17" i="7"/>
  <c r="N17" i="7"/>
  <c r="P17" i="7"/>
  <c r="F17" i="7"/>
  <c r="E17" i="7"/>
  <c r="H17" i="7"/>
  <c r="E16" i="7"/>
  <c r="N16" i="7"/>
  <c r="S16" i="7"/>
  <c r="P16" i="7"/>
  <c r="M16" i="7"/>
  <c r="H16" i="7"/>
  <c r="F16" i="7"/>
  <c r="G16" i="7"/>
  <c r="I16" i="7"/>
  <c r="D16" i="7"/>
  <c r="R16" i="7"/>
  <c r="D15" i="7"/>
  <c r="M15" i="7"/>
  <c r="R15" i="7"/>
  <c r="N15" i="7"/>
  <c r="P15" i="7"/>
  <c r="F15" i="7"/>
  <c r="E15" i="7"/>
  <c r="G15" i="7"/>
  <c r="I15" i="7"/>
  <c r="E14" i="7"/>
  <c r="N14" i="7"/>
  <c r="S14" i="7"/>
  <c r="P14" i="7"/>
  <c r="M14" i="7"/>
  <c r="H14" i="7"/>
  <c r="F14" i="7"/>
  <c r="G14" i="7"/>
  <c r="I14" i="7"/>
  <c r="D14" i="7"/>
  <c r="R14" i="7"/>
  <c r="D13" i="7"/>
  <c r="M13" i="7"/>
  <c r="R13" i="7"/>
  <c r="N13" i="7"/>
  <c r="P13" i="7"/>
  <c r="E13" i="7"/>
  <c r="G13" i="7"/>
  <c r="I13" i="7"/>
  <c r="F13" i="7"/>
  <c r="H13" i="7"/>
  <c r="E12" i="7"/>
  <c r="N12" i="7"/>
  <c r="S12" i="7"/>
  <c r="P12" i="7"/>
  <c r="M12" i="7"/>
  <c r="H12" i="7"/>
  <c r="G12" i="7"/>
  <c r="I12" i="7"/>
  <c r="F12" i="7"/>
  <c r="D12" i="7"/>
  <c r="R12" i="7"/>
  <c r="D11" i="7"/>
  <c r="M11" i="7"/>
  <c r="R11" i="7"/>
  <c r="N11" i="7"/>
  <c r="P11" i="7"/>
  <c r="F11" i="7"/>
  <c r="E11" i="7"/>
  <c r="S11" i="7"/>
  <c r="E10" i="7"/>
  <c r="N10" i="7"/>
  <c r="S10" i="7"/>
  <c r="P10" i="7"/>
  <c r="M10" i="7"/>
  <c r="H10" i="7"/>
  <c r="F10" i="7"/>
  <c r="G10" i="7"/>
  <c r="I10" i="7"/>
  <c r="D10" i="7"/>
  <c r="R10" i="7"/>
  <c r="D9" i="7"/>
  <c r="M9" i="7"/>
  <c r="R9" i="7"/>
  <c r="N9" i="7"/>
  <c r="P9" i="7"/>
  <c r="F9" i="7"/>
  <c r="E9" i="7"/>
  <c r="H9" i="7"/>
  <c r="E8" i="7"/>
  <c r="N8" i="7"/>
  <c r="S8" i="7"/>
  <c r="P8" i="7"/>
  <c r="M8" i="7"/>
  <c r="H8" i="7"/>
  <c r="G8" i="7"/>
  <c r="I8" i="7"/>
  <c r="F8" i="7"/>
  <c r="D8" i="7"/>
  <c r="R8" i="7"/>
  <c r="D7" i="7"/>
  <c r="M7" i="7"/>
  <c r="R7" i="7"/>
  <c r="N7" i="7"/>
  <c r="P7" i="7"/>
  <c r="F7" i="7"/>
  <c r="E7" i="7"/>
  <c r="S7" i="7"/>
  <c r="E6" i="7"/>
  <c r="N6" i="7"/>
  <c r="S6" i="7"/>
  <c r="P6" i="7"/>
  <c r="M6" i="7"/>
  <c r="H6" i="7"/>
  <c r="F6" i="7"/>
  <c r="G6" i="7"/>
  <c r="I6" i="7"/>
  <c r="D6" i="7"/>
  <c r="R6" i="7"/>
  <c r="R84" i="7"/>
  <c r="D5" i="7"/>
  <c r="M5" i="7"/>
  <c r="R5" i="7"/>
  <c r="N5" i="7"/>
  <c r="N82" i="7"/>
  <c r="M82" i="7"/>
  <c r="E5" i="7"/>
  <c r="G5" i="7"/>
  <c r="F5" i="7"/>
  <c r="E82" i="7"/>
  <c r="E83" i="7"/>
  <c r="E85" i="7"/>
  <c r="I5" i="7"/>
  <c r="S13" i="7"/>
  <c r="S26" i="7"/>
  <c r="S51" i="7"/>
  <c r="S84" i="7"/>
  <c r="G7" i="7"/>
  <c r="I7" i="7"/>
  <c r="G11" i="7"/>
  <c r="I11" i="7"/>
  <c r="G19" i="7"/>
  <c r="I19" i="7"/>
  <c r="G23" i="7"/>
  <c r="I23" i="7"/>
  <c r="F82" i="7"/>
  <c r="S5" i="7"/>
  <c r="H7" i="7"/>
  <c r="S9" i="7"/>
  <c r="H11" i="7"/>
  <c r="S87" i="7"/>
  <c r="H15" i="7"/>
  <c r="S17" i="7"/>
  <c r="H19" i="7"/>
  <c r="S21" i="7"/>
  <c r="H23" i="7"/>
  <c r="S25" i="7"/>
  <c r="S31" i="7"/>
  <c r="H31" i="7"/>
  <c r="G31" i="7"/>
  <c r="I31" i="7"/>
  <c r="S35" i="7"/>
  <c r="H35" i="7"/>
  <c r="G35" i="7"/>
  <c r="I35" i="7"/>
  <c r="R56" i="7"/>
  <c r="G17" i="7"/>
  <c r="I17" i="7"/>
  <c r="S47" i="7"/>
  <c r="H47" i="7"/>
  <c r="G47" i="7"/>
  <c r="I47" i="7"/>
  <c r="S63" i="7"/>
  <c r="H63" i="7"/>
  <c r="G63" i="7"/>
  <c r="I63" i="7"/>
  <c r="G9" i="7"/>
  <c r="I9" i="7"/>
  <c r="G25" i="7"/>
  <c r="I25" i="7"/>
  <c r="S27" i="7"/>
  <c r="H27" i="7"/>
  <c r="G27" i="7"/>
  <c r="I27" i="7"/>
  <c r="D82" i="7"/>
  <c r="D83" i="7"/>
  <c r="H5" i="7"/>
  <c r="P5" i="7"/>
  <c r="P82" i="7"/>
  <c r="S15" i="7"/>
  <c r="G26" i="7"/>
  <c r="I26" i="7"/>
  <c r="R36" i="7"/>
  <c r="R28" i="7"/>
  <c r="R82" i="7"/>
  <c r="R85" i="7"/>
  <c r="S43" i="7"/>
  <c r="H43" i="7"/>
  <c r="G43" i="7"/>
  <c r="I43" i="7"/>
  <c r="S55" i="7"/>
  <c r="H55" i="7"/>
  <c r="G55" i="7"/>
  <c r="I55" i="7"/>
  <c r="S39" i="7"/>
  <c r="H39" i="7"/>
  <c r="G39" i="7"/>
  <c r="I39" i="7"/>
  <c r="H51" i="7"/>
  <c r="G51" i="7"/>
  <c r="I51" i="7"/>
  <c r="S59" i="7"/>
  <c r="H59" i="7"/>
  <c r="G59" i="7"/>
  <c r="I59" i="7"/>
  <c r="S67" i="7"/>
  <c r="H67" i="7"/>
  <c r="G67" i="7"/>
  <c r="I67" i="7"/>
  <c r="S71" i="7"/>
  <c r="H71" i="7"/>
  <c r="G71" i="7"/>
  <c r="I71" i="7"/>
  <c r="S75" i="7"/>
  <c r="H75" i="7"/>
  <c r="G75" i="7"/>
  <c r="I75" i="7"/>
  <c r="S79" i="7"/>
  <c r="H79" i="7"/>
  <c r="G79" i="7"/>
  <c r="I79" i="7"/>
  <c r="S30" i="7"/>
  <c r="H36" i="7"/>
  <c r="H40" i="7"/>
  <c r="H52" i="7"/>
  <c r="S54" i="7"/>
  <c r="S58" i="7"/>
  <c r="H60" i="7"/>
  <c r="S62" i="7"/>
  <c r="H64" i="7"/>
  <c r="S66" i="7"/>
  <c r="S70" i="7"/>
  <c r="S74" i="7"/>
  <c r="H80" i="7"/>
  <c r="S29" i="7"/>
  <c r="S33" i="7"/>
  <c r="S37" i="7"/>
  <c r="S41" i="7"/>
  <c r="S45" i="7"/>
  <c r="S49" i="7"/>
  <c r="S53" i="7"/>
  <c r="S57" i="7"/>
  <c r="S61" i="7"/>
  <c r="S65" i="7"/>
  <c r="S69" i="7"/>
  <c r="S73" i="7"/>
  <c r="S77" i="7"/>
  <c r="S81" i="7"/>
  <c r="H82" i="7"/>
  <c r="G82" i="7"/>
  <c r="S82" i="7"/>
  <c r="S85" i="7"/>
  <c r="I82" i="7"/>
  <c r="B9" i="6"/>
  <c r="F28" i="4"/>
  <c r="I28" i="4"/>
  <c r="J28" i="4"/>
  <c r="F29" i="4"/>
  <c r="I29" i="4"/>
  <c r="J29" i="4"/>
  <c r="F30" i="4"/>
  <c r="I30" i="4"/>
  <c r="J30" i="4"/>
  <c r="F31" i="4"/>
  <c r="I31" i="4"/>
  <c r="J31" i="4"/>
  <c r="F32" i="4"/>
  <c r="I32" i="4"/>
  <c r="J32" i="4"/>
  <c r="F33" i="4"/>
  <c r="I33" i="4"/>
  <c r="J33" i="4"/>
  <c r="F34" i="4"/>
  <c r="I34" i="4"/>
  <c r="J34" i="4"/>
  <c r="F35" i="4"/>
  <c r="I35" i="4"/>
  <c r="J35" i="4"/>
  <c r="F36" i="4"/>
  <c r="I36" i="4"/>
  <c r="J36" i="4"/>
  <c r="F37" i="4"/>
  <c r="I37" i="4"/>
  <c r="J37" i="4"/>
  <c r="F38" i="4"/>
  <c r="I38" i="4"/>
  <c r="J38" i="4"/>
  <c r="F39" i="4"/>
  <c r="I39" i="4"/>
  <c r="J39" i="4"/>
  <c r="F40" i="4"/>
  <c r="I40" i="4"/>
  <c r="J40" i="4"/>
  <c r="F41" i="4"/>
  <c r="I41" i="4"/>
  <c r="J41" i="4"/>
  <c r="F27" i="4"/>
  <c r="I27" i="4"/>
  <c r="J27" i="4"/>
</calcChain>
</file>

<file path=xl/sharedStrings.xml><?xml version="1.0" encoding="utf-8"?>
<sst xmlns="http://schemas.openxmlformats.org/spreadsheetml/2006/main" count="948" uniqueCount="534">
  <si>
    <t>Total Assets</t>
  </si>
  <si>
    <t>Provisions</t>
  </si>
  <si>
    <t>Total Non-performing Loans</t>
  </si>
  <si>
    <t xml:space="preserve">    Of which:</t>
  </si>
  <si>
    <t xml:space="preserve">    Private</t>
  </si>
  <si>
    <t xml:space="preserve">    Government</t>
  </si>
  <si>
    <t>Loans:</t>
  </si>
  <si>
    <t>Investments:</t>
  </si>
  <si>
    <t xml:space="preserve">    Statutory Bodies</t>
  </si>
  <si>
    <t xml:space="preserve">    Government </t>
  </si>
  <si>
    <t xml:space="preserve">    Financial Institutions</t>
  </si>
  <si>
    <t xml:space="preserve">    Business Firms</t>
  </si>
  <si>
    <t xml:space="preserve">    Private Individuals</t>
  </si>
  <si>
    <t xml:space="preserve">    Other</t>
  </si>
  <si>
    <t xml:space="preserve">    Foreign Deposits</t>
  </si>
  <si>
    <t>Q1 2017</t>
  </si>
  <si>
    <t>Q1 2018</t>
  </si>
  <si>
    <t>Q2 2017</t>
  </si>
  <si>
    <t>Q2 2018</t>
  </si>
  <si>
    <t>Q3 2017</t>
  </si>
  <si>
    <t>Q4 2017</t>
  </si>
  <si>
    <t>Total Deposits:</t>
  </si>
  <si>
    <t>(in millions of Barbados dollars)</t>
  </si>
  <si>
    <t>BDS $M</t>
  </si>
  <si>
    <t xml:space="preserve">Current account </t>
  </si>
  <si>
    <t xml:space="preserve">      Exports </t>
  </si>
  <si>
    <t xml:space="preserve">      Tourism receipts </t>
  </si>
  <si>
    <t xml:space="preserve">      Other services, net </t>
  </si>
  <si>
    <t xml:space="preserve">      Imports </t>
  </si>
  <si>
    <t xml:space="preserve">      Investment Income </t>
  </si>
  <si>
    <t xml:space="preserve">      Current Transfers </t>
  </si>
  <si>
    <t>Capital Account</t>
  </si>
  <si>
    <t xml:space="preserve">  Capital Transfers</t>
  </si>
  <si>
    <t xml:space="preserve">  Aquistion/disposal of non-produced, non-financial assets</t>
  </si>
  <si>
    <t xml:space="preserve">Financial account </t>
  </si>
  <si>
    <t xml:space="preserve">     New Financing (L/T &amp; S/T)/(public sector) </t>
  </si>
  <si>
    <t xml:space="preserve">              Project funds</t>
  </si>
  <si>
    <t xml:space="preserve">              Policy loans</t>
  </si>
  <si>
    <t xml:space="preserve">              IMF</t>
  </si>
  <si>
    <t xml:space="preserve">     Central Bank reserves - changes (-)</t>
  </si>
  <si>
    <t xml:space="preserve">     Foreign Direct Investment (net)</t>
  </si>
  <si>
    <t xml:space="preserve">     Other</t>
  </si>
  <si>
    <t xml:space="preserve">Contribrution </t>
  </si>
  <si>
    <t xml:space="preserve">Investment </t>
  </si>
  <si>
    <t>Other</t>
  </si>
  <si>
    <t>Total</t>
  </si>
  <si>
    <t>Benefits</t>
  </si>
  <si>
    <t>Admin &amp; Other</t>
  </si>
  <si>
    <t>Surplus/(Deficit</t>
  </si>
  <si>
    <t xml:space="preserve">  Reserves: # of Times current Year's Expenditure</t>
  </si>
  <si>
    <t xml:space="preserve">Assumptions : </t>
  </si>
  <si>
    <t>Total Fertility Rate</t>
  </si>
  <si>
    <t>Mortality Improvement</t>
  </si>
  <si>
    <t>Net In-migration Per annum (p.a)</t>
  </si>
  <si>
    <t>Long term</t>
  </si>
  <si>
    <t>Real Increase in Wages ( % per annum)</t>
  </si>
  <si>
    <t>Long term Inflation (2.5% per annum)</t>
  </si>
  <si>
    <t>Real GDP Growth Rates (% per annum)</t>
  </si>
  <si>
    <t>UN Mortality Improvement Rate -Slow</t>
  </si>
  <si>
    <t>300 per annun to 2030, constant thereafter</t>
  </si>
  <si>
    <t>Medium term</t>
  </si>
  <si>
    <t xml:space="preserve">Source: 15 Actuarial Review </t>
  </si>
  <si>
    <t>Millions of BDS$ (2010 Prices)</t>
  </si>
  <si>
    <t>Growth Rates</t>
  </si>
  <si>
    <r>
      <t xml:space="preserve">2017 </t>
    </r>
    <r>
      <rPr>
        <b/>
        <i/>
        <sz val="11"/>
        <color theme="1"/>
        <rFont val="Times New Roman"/>
        <family val="1"/>
      </rPr>
      <t>(p)</t>
    </r>
  </si>
  <si>
    <r>
      <t>2018</t>
    </r>
    <r>
      <rPr>
        <b/>
        <i/>
        <sz val="11"/>
        <color theme="1"/>
        <rFont val="Times New Roman"/>
        <family val="1"/>
      </rPr>
      <t xml:space="preserve"> (f)</t>
    </r>
  </si>
  <si>
    <r>
      <t>2019</t>
    </r>
    <r>
      <rPr>
        <b/>
        <i/>
        <sz val="11"/>
        <color theme="1"/>
        <rFont val="Times New Roman"/>
        <family val="1"/>
      </rPr>
      <t xml:space="preserve"> (f)</t>
    </r>
  </si>
  <si>
    <t>TRADED SECTOR</t>
  </si>
  <si>
    <t>Sugar</t>
  </si>
  <si>
    <t>Non-Sugar Agriculture &amp;Fishing</t>
  </si>
  <si>
    <t>Manufacturing</t>
  </si>
  <si>
    <t>Tourism</t>
  </si>
  <si>
    <t>Long-Stay Arrivals ('000)</t>
  </si>
  <si>
    <t>Cruise Arrivals ('000)</t>
  </si>
  <si>
    <t>NON-TRADED SECTOR</t>
  </si>
  <si>
    <t>Mining &amp; Quarrying</t>
  </si>
  <si>
    <t>Electricity, Gas &amp; Water</t>
  </si>
  <si>
    <t>Construction</t>
  </si>
  <si>
    <t>Wholesale &amp; Retail</t>
  </si>
  <si>
    <t>Government</t>
  </si>
  <si>
    <t>Transportation, Storage &amp; Communications</t>
  </si>
  <si>
    <t>Business &amp; Other Services</t>
  </si>
  <si>
    <t>TOTAL REAL GDP</t>
  </si>
  <si>
    <t xml:space="preserve">TOTAL NOMINAL GDP </t>
  </si>
  <si>
    <t>12-Month MA Inflation</t>
  </si>
  <si>
    <t>Real GDP is expected to decline by 0.5% in 2018. Output is expected to pick up in 2019 as the assumption is that some recovery to construction should be realized as tourism projects get on the way. One of the major projects scheduled to commence in 2019Q2 is Sandals Beaches.</t>
  </si>
  <si>
    <t>NHC</t>
  </si>
  <si>
    <t>BADMC</t>
  </si>
  <si>
    <t>CBC</t>
  </si>
  <si>
    <t>BNOCL</t>
  </si>
  <si>
    <t>Caribbean Aircraft Corporation</t>
  </si>
  <si>
    <t>QEH</t>
  </si>
  <si>
    <t>Transport Board</t>
  </si>
  <si>
    <t>Overdrafts June 2018 Commercial Banks</t>
  </si>
  <si>
    <t>MARKET VALUATION FOR US JOINT PORTFOLIO</t>
  </si>
  <si>
    <t>MARKET VALUATION FOR BDS LEDGER</t>
  </si>
  <si>
    <t>AS AT 2018.06.30</t>
  </si>
  <si>
    <t>SINKING</t>
  </si>
  <si>
    <t>ISSUE</t>
  </si>
  <si>
    <t xml:space="preserve">CASH BALANCE </t>
  </si>
  <si>
    <t>NOMINAL</t>
  </si>
  <si>
    <t>COST</t>
  </si>
  <si>
    <t>CASH</t>
  </si>
  <si>
    <t>COST +CASH</t>
  </si>
  <si>
    <t>COST + CASH</t>
  </si>
  <si>
    <t>JUNE 2018</t>
  </si>
  <si>
    <t xml:space="preserve">NOMINAL </t>
  </si>
  <si>
    <t>TOTAL COST (BDS)</t>
  </si>
  <si>
    <t>FUND#</t>
  </si>
  <si>
    <t>NUMBER</t>
  </si>
  <si>
    <t>CURR   USD</t>
  </si>
  <si>
    <t>CURR. USD</t>
  </si>
  <si>
    <t>CURR  USD</t>
  </si>
  <si>
    <t>COST BDS</t>
  </si>
  <si>
    <t>BDS</t>
  </si>
  <si>
    <t>FUND #</t>
  </si>
  <si>
    <t>CURR  BDS</t>
  </si>
  <si>
    <t>055750</t>
  </si>
  <si>
    <t>9406</t>
  </si>
  <si>
    <t>055805</t>
  </si>
  <si>
    <t>-</t>
  </si>
  <si>
    <t>055813</t>
  </si>
  <si>
    <t>200207</t>
  </si>
  <si>
    <t>055815</t>
  </si>
  <si>
    <t>200209</t>
  </si>
  <si>
    <t>055818</t>
  </si>
  <si>
    <t>200303</t>
  </si>
  <si>
    <t>055819</t>
  </si>
  <si>
    <t>055820</t>
  </si>
  <si>
    <t>55826</t>
  </si>
  <si>
    <t>0502</t>
  </si>
  <si>
    <t>055830</t>
  </si>
  <si>
    <t>055831</t>
  </si>
  <si>
    <t>055832</t>
  </si>
  <si>
    <t>200601</t>
  </si>
  <si>
    <t>055835</t>
  </si>
  <si>
    <t>055840</t>
  </si>
  <si>
    <t>055843</t>
  </si>
  <si>
    <t>055844</t>
  </si>
  <si>
    <t>055845</t>
  </si>
  <si>
    <t>055849</t>
  </si>
  <si>
    <t>055850</t>
  </si>
  <si>
    <t>055852</t>
  </si>
  <si>
    <t>055856</t>
  </si>
  <si>
    <t>055858</t>
  </si>
  <si>
    <t>055859</t>
  </si>
  <si>
    <t>055860</t>
  </si>
  <si>
    <t>055861</t>
  </si>
  <si>
    <t>055862</t>
  </si>
  <si>
    <t>055863</t>
  </si>
  <si>
    <t>055865</t>
  </si>
  <si>
    <t>055867</t>
  </si>
  <si>
    <t>055868</t>
  </si>
  <si>
    <t>055869</t>
  </si>
  <si>
    <t>055870</t>
  </si>
  <si>
    <t>055871</t>
  </si>
  <si>
    <t>055872</t>
  </si>
  <si>
    <t>055873</t>
  </si>
  <si>
    <t>055875</t>
  </si>
  <si>
    <t>055876</t>
  </si>
  <si>
    <t>055877</t>
  </si>
  <si>
    <t>055878</t>
  </si>
  <si>
    <t>055879</t>
  </si>
  <si>
    <t>055880</t>
  </si>
  <si>
    <t>055881</t>
  </si>
  <si>
    <t>055882</t>
  </si>
  <si>
    <t>055884</t>
  </si>
  <si>
    <t>055886</t>
  </si>
  <si>
    <t>055887</t>
  </si>
  <si>
    <t>055888</t>
  </si>
  <si>
    <t>055889</t>
  </si>
  <si>
    <t>055890</t>
  </si>
  <si>
    <t>055892</t>
  </si>
  <si>
    <t>055893</t>
  </si>
  <si>
    <t>055894</t>
  </si>
  <si>
    <t>055895</t>
  </si>
  <si>
    <t>055896</t>
  </si>
  <si>
    <t>055898</t>
  </si>
  <si>
    <t>055899</t>
  </si>
  <si>
    <t>055900</t>
  </si>
  <si>
    <t>055902</t>
  </si>
  <si>
    <t>055903</t>
  </si>
  <si>
    <t>055904</t>
  </si>
  <si>
    <t>055905</t>
  </si>
  <si>
    <t>055906</t>
  </si>
  <si>
    <t>055907</t>
  </si>
  <si>
    <t>055908</t>
  </si>
  <si>
    <t>055909</t>
  </si>
  <si>
    <t>055910</t>
  </si>
  <si>
    <t>055912</t>
  </si>
  <si>
    <t>055913</t>
  </si>
  <si>
    <t>055914</t>
  </si>
  <si>
    <t>055915</t>
  </si>
  <si>
    <t>055916</t>
  </si>
  <si>
    <t>055917</t>
  </si>
  <si>
    <t>055918</t>
  </si>
  <si>
    <t>055919</t>
  </si>
  <si>
    <t>055920</t>
  </si>
  <si>
    <t>055921</t>
  </si>
  <si>
    <t>055923</t>
  </si>
  <si>
    <t>055924</t>
  </si>
  <si>
    <t>TOTAL</t>
  </si>
  <si>
    <t xml:space="preserve">PREPARED BY:      </t>
  </si>
  <si>
    <t>DATE:</t>
  </si>
  <si>
    <t xml:space="preserve"> </t>
  </si>
  <si>
    <t xml:space="preserve">CHECKED BY:                     </t>
  </si>
  <si>
    <t>a. Government revenues, by economic sector:</t>
  </si>
  <si>
    <t>i. Direct taxes</t>
  </si>
  <si>
    <t>ii. Indirect taxes</t>
  </si>
  <si>
    <t>iii. Non-tax revenue</t>
  </si>
  <si>
    <t>iv. Proposed privatizations</t>
  </si>
  <si>
    <t>Summary  (In millions of Barbados Dollars)</t>
  </si>
  <si>
    <t>2015/16</t>
  </si>
  <si>
    <t>2016/17</t>
  </si>
  <si>
    <t>2017/18</t>
  </si>
  <si>
    <t>2018/19</t>
  </si>
  <si>
    <t>2019/20</t>
  </si>
  <si>
    <t>2020/21</t>
  </si>
  <si>
    <t>2021/22</t>
  </si>
  <si>
    <t>2022/23</t>
  </si>
  <si>
    <t>2023/24</t>
  </si>
  <si>
    <t>Tax Revenue</t>
  </si>
  <si>
    <t>Detailed fiscal projections with prior two-year history for</t>
  </si>
  <si>
    <t xml:space="preserve"> i) Direct Taxes</t>
  </si>
  <si>
    <t xml:space="preserve"> ii) Indirect Taxes</t>
  </si>
  <si>
    <t>iii) Non Tax Revenue &amp; Grants</t>
  </si>
  <si>
    <t>Current Expenditure</t>
  </si>
  <si>
    <t xml:space="preserve"> i) Wages &amp; Salaries</t>
  </si>
  <si>
    <t xml:space="preserve"> ii) Goods &amp; Services</t>
  </si>
  <si>
    <t xml:space="preserve"> iii) Interest</t>
  </si>
  <si>
    <t xml:space="preserve"> iv) Transfers &amp; Subsidies</t>
  </si>
  <si>
    <t>Capital Expenditure &amp; Net Lending</t>
  </si>
  <si>
    <t>Overall Balance</t>
  </si>
  <si>
    <t>Primary Balance</t>
  </si>
  <si>
    <t xml:space="preserve">FY GDP </t>
  </si>
  <si>
    <t>FY Target   (In millions of Barbados Dollars)</t>
  </si>
  <si>
    <t xml:space="preserve">    a) Personal</t>
  </si>
  <si>
    <t xml:space="preserve">    b) Corporate</t>
  </si>
  <si>
    <t xml:space="preserve">    c) Levies</t>
  </si>
  <si>
    <t xml:space="preserve">    d) Stabilization/Consolidation</t>
  </si>
  <si>
    <t xml:space="preserve">    e) Property</t>
  </si>
  <si>
    <t xml:space="preserve">    f) Municipal Solid Waste Tax</t>
  </si>
  <si>
    <t xml:space="preserve">    g) Bank/Other Fin. Ins. Asset Tax</t>
  </si>
  <si>
    <t xml:space="preserve">    h) Other</t>
  </si>
  <si>
    <t xml:space="preserve">    a) Consumption</t>
  </si>
  <si>
    <t xml:space="preserve">    b) Stamp</t>
  </si>
  <si>
    <t xml:space="preserve">    c) VAT</t>
  </si>
  <si>
    <t xml:space="preserve">    d) Excises</t>
  </si>
  <si>
    <t xml:space="preserve">    e) Import Duties</t>
  </si>
  <si>
    <t xml:space="preserve">    f) Hotel &amp; Restaurant</t>
  </si>
  <si>
    <t xml:space="preserve">    g) Social Responsibility Levy</t>
  </si>
  <si>
    <t>Non Tax Revenue &amp; Grants</t>
  </si>
  <si>
    <t xml:space="preserve"> i) Non Tax Revenue</t>
  </si>
  <si>
    <t xml:space="preserve"> ii) Grants</t>
  </si>
  <si>
    <t>(iii) Post Office - Revenue</t>
  </si>
  <si>
    <t xml:space="preserve">    a) External</t>
  </si>
  <si>
    <t xml:space="preserve">    b) Domestic</t>
  </si>
  <si>
    <t>a) Grants to Individuals</t>
  </si>
  <si>
    <t xml:space="preserve">b) Grants to Public Institutions </t>
  </si>
  <si>
    <t>c) Subsidies</t>
  </si>
  <si>
    <t>d) Subscriptions &amp; Contributions</t>
  </si>
  <si>
    <t>e) Non-Profit Agencies</t>
  </si>
  <si>
    <t xml:space="preserve">    a) Monitored Enterprises</t>
  </si>
  <si>
    <t xml:space="preserve">    b) Other</t>
  </si>
  <si>
    <t>Capital Expenditure</t>
  </si>
  <si>
    <t>Net Lending</t>
  </si>
  <si>
    <t>FY 2018/19</t>
  </si>
  <si>
    <t xml:space="preserve">FY 2019/20 </t>
  </si>
  <si>
    <t xml:space="preserve">Fiscal Year </t>
  </si>
  <si>
    <t xml:space="preserve">Baseline </t>
  </si>
  <si>
    <t xml:space="preserve">% of GDP </t>
  </si>
  <si>
    <t>$BDS M</t>
  </si>
  <si>
    <t xml:space="preserve">Total Adjustment </t>
  </si>
  <si>
    <t xml:space="preserve">Total Revenue Adjustment </t>
  </si>
  <si>
    <t xml:space="preserve">Loss From NSRL and Associated VAT </t>
  </si>
  <si>
    <t xml:space="preserve">Reduction in Road Tax </t>
  </si>
  <si>
    <t xml:space="preserve"> Fuel Tax</t>
  </si>
  <si>
    <t>VAT on all online purchases</t>
  </si>
  <si>
    <t xml:space="preserve">VAT Gain on Peteroleum </t>
  </si>
  <si>
    <t xml:space="preserve">Airline Travel and Tourism Development fee </t>
  </si>
  <si>
    <t xml:space="preserve">Garbage and Sewage Contribution </t>
  </si>
  <si>
    <t xml:space="preserve">Room Rate Levy /DTS product levy/ Shared Accomodation </t>
  </si>
  <si>
    <t xml:space="preserve">Car Registration </t>
  </si>
  <si>
    <t xml:space="preserve">Health Service Contribution </t>
  </si>
  <si>
    <t>Anti-Hybrid</t>
  </si>
  <si>
    <t xml:space="preserve">Gambling Tax </t>
  </si>
  <si>
    <t xml:space="preserve">Total Expenditure Adjustment </t>
  </si>
  <si>
    <t>Tuition fees (UWI, Erdiston College,Barbados Community College)</t>
  </si>
  <si>
    <t>Financing  for Small businesses</t>
  </si>
  <si>
    <t>Salary increase</t>
  </si>
  <si>
    <t xml:space="preserve">Increase in Welfare Payments </t>
  </si>
  <si>
    <t>BRA compliance</t>
  </si>
  <si>
    <t xml:space="preserve">Sugar </t>
  </si>
  <si>
    <t xml:space="preserve">Master Teacher / Nurses /Education </t>
  </si>
  <si>
    <t xml:space="preserve">Additional Judges </t>
  </si>
  <si>
    <t xml:space="preserve">Beautification </t>
  </si>
  <si>
    <t xml:space="preserve">24 Hr polyclinic </t>
  </si>
  <si>
    <t xml:space="preserve">Increase in non contributory pensions </t>
  </si>
  <si>
    <t xml:space="preserve">spending on Customs and Town and country planning </t>
  </si>
  <si>
    <t xml:space="preserve">sugar </t>
  </si>
  <si>
    <t xml:space="preserve">salary and wages </t>
  </si>
  <si>
    <t xml:space="preserve">Capital Expenditure </t>
  </si>
  <si>
    <t xml:space="preserve">MTW Equipment </t>
  </si>
  <si>
    <t xml:space="preserve">New Buses /Trucks expenditure </t>
  </si>
  <si>
    <t xml:space="preserve">Accident and Emergency Expansion </t>
  </si>
  <si>
    <t xml:space="preserve">Rapid Roof/Pit ToiletReplacement </t>
  </si>
  <si>
    <t xml:space="preserve">National Storage </t>
  </si>
  <si>
    <t xml:space="preserve">Sewage Plant </t>
  </si>
  <si>
    <t xml:space="preserve">Road Works </t>
  </si>
  <si>
    <t>Smart Bridgetown</t>
  </si>
  <si>
    <t xml:space="preserve">Supreme Court </t>
  </si>
  <si>
    <t xml:space="preserve">Electrical upgrade for NHC units </t>
  </si>
  <si>
    <t>Central Government Payables(Transfers)</t>
  </si>
  <si>
    <t>Central Government Receivables (BRA)</t>
  </si>
  <si>
    <t>Gross BRA Payables</t>
  </si>
  <si>
    <t>Net Receivable</t>
  </si>
  <si>
    <t>New Central Government Payables</t>
  </si>
  <si>
    <t xml:space="preserve">Assuming Write offs </t>
  </si>
  <si>
    <t>Barbados Accreditation Council</t>
  </si>
  <si>
    <t>Barbados Agricultural Credit Trust Ltd</t>
  </si>
  <si>
    <t>Barbados Agricultural Development &amp; Marketing Corporation</t>
  </si>
  <si>
    <t>Barbados Agricultural Management Co. Ltd.</t>
  </si>
  <si>
    <t>Barbados Cane Industry Corporation</t>
  </si>
  <si>
    <t>Barbados Community College</t>
  </si>
  <si>
    <t xml:space="preserve">Barbados Community College Hospitality Institute </t>
  </si>
  <si>
    <t>Barbados Conference Services Ltd.</t>
  </si>
  <si>
    <t>Barbados Defence Force</t>
  </si>
  <si>
    <t xml:space="preserve">BARBADOS DIOCESAN TRUSTEES                   </t>
  </si>
  <si>
    <t xml:space="preserve">BARBADOS HOTEL AND TOURISM ASSOCIATION       </t>
  </si>
  <si>
    <t>Barbados Investment and Development Corporation</t>
  </si>
  <si>
    <t>BARBADOS MANUFACTURERS ASSOCIATION</t>
  </si>
  <si>
    <t>Barbados Port Inc</t>
  </si>
  <si>
    <t xml:space="preserve">Barbados Revenue Authrority </t>
  </si>
  <si>
    <t>Barbados Tourism Investment Inc</t>
  </si>
  <si>
    <t>Barbados Tourism Marketing Inc</t>
  </si>
  <si>
    <t xml:space="preserve">Barbados Tourism Product Authority </t>
  </si>
  <si>
    <t>Barbados Water Authority</t>
  </si>
  <si>
    <t>Caribbean Broadcasting Corporation</t>
  </si>
  <si>
    <t xml:space="preserve">CARIBBEAN EXAMINATIONS COUNCIL </t>
  </si>
  <si>
    <t>CARIBBEAN INSTITUTE FOR METEOROLOGY &amp; HYDROLOGY</t>
  </si>
  <si>
    <t>Caves of Barbados Ltd.</t>
  </si>
  <si>
    <t>C'BEAN AGRICULTURAL RESEARCH &amp; DEVELOPMENT IN</t>
  </si>
  <si>
    <t xml:space="preserve">C'BEAN EXPORT DEVELOPMENT AGENCY             </t>
  </si>
  <si>
    <t xml:space="preserve">CENTRAL BANK OF BARBADOS                     </t>
  </si>
  <si>
    <t>Director Barbados Vocational Training Board</t>
  </si>
  <si>
    <t>Director Child Care Board</t>
  </si>
  <si>
    <t>Director of Queen Elizabeth Hospital</t>
  </si>
  <si>
    <t>EGFL For The Small Hotels Investments Fund</t>
  </si>
  <si>
    <t xml:space="preserve">Erdiston College </t>
  </si>
  <si>
    <t xml:space="preserve">Financial Services Commission </t>
  </si>
  <si>
    <t>Fund Access</t>
  </si>
  <si>
    <t xml:space="preserve">Gymnasium Ltd </t>
  </si>
  <si>
    <t xml:space="preserve">Invest Barbados </t>
  </si>
  <si>
    <t xml:space="preserve">Kensington Oval Management Inc </t>
  </si>
  <si>
    <t>LEARNING CENTRE</t>
  </si>
  <si>
    <t>National Assistance Board</t>
  </si>
  <si>
    <t>National Conservation Commission</t>
  </si>
  <si>
    <t xml:space="preserve">National Council on Substance Abuse </t>
  </si>
  <si>
    <t xml:space="preserve">National Cultural Foundation </t>
  </si>
  <si>
    <t>National Housing Corporation*</t>
  </si>
  <si>
    <t>National Initiative for Service Excellence</t>
  </si>
  <si>
    <t xml:space="preserve">National Sports Council </t>
  </si>
  <si>
    <t xml:space="preserve">PRINCIPAL, CODRINGTON COLLEGE </t>
  </si>
  <si>
    <t xml:space="preserve">REGIONAL SECURITY SYSTEM                     </t>
  </si>
  <si>
    <t xml:space="preserve">SAM LORD'S PROPERTY DEVELOPMENT INC          </t>
  </si>
  <si>
    <t xml:space="preserve">Samuel Jackman Prescod Polyctechnic </t>
  </si>
  <si>
    <t>Sanitation Services Authority</t>
  </si>
  <si>
    <t xml:space="preserve">Secondary Schools </t>
  </si>
  <si>
    <t xml:space="preserve">Technical and Vocational Educational Training Council </t>
  </si>
  <si>
    <t xml:space="preserve">THE CHALLENOR SCHOOL </t>
  </si>
  <si>
    <t xml:space="preserve">THE DERRICK SMITH SCHOOL &amp; VOCATIONAL CENTRE </t>
  </si>
  <si>
    <t xml:space="preserve">Transport Authority </t>
  </si>
  <si>
    <t>UNIVERSITY OF THE WEST INDIES</t>
  </si>
  <si>
    <t xml:space="preserve">Urban Development Commision </t>
  </si>
  <si>
    <t xml:space="preserve">BARBADOS MUSEUM &amp; HISTORICAL SOCIETY         </t>
  </si>
  <si>
    <t xml:space="preserve">Total </t>
  </si>
  <si>
    <t xml:space="preserve">*note  $242M of UWI total is an approximate amount </t>
  </si>
  <si>
    <t xml:space="preserve">As at May 31st </t>
  </si>
  <si>
    <t xml:space="preserve">Central Government Tax Refunds </t>
  </si>
  <si>
    <t xml:space="preserve">Central Government to Private Sector </t>
  </si>
  <si>
    <t xml:space="preserve">Central Government Transfers </t>
  </si>
  <si>
    <t xml:space="preserve">Central Government to NIS </t>
  </si>
  <si>
    <t xml:space="preserve">Total Arrears </t>
  </si>
  <si>
    <t xml:space="preserve">Training Levy </t>
  </si>
  <si>
    <t xml:space="preserve">Net Government  Arrears </t>
  </si>
  <si>
    <t xml:space="preserve">As at March 31st </t>
  </si>
  <si>
    <t xml:space="preserve">Summary Sheet  Tax Refunds </t>
  </si>
  <si>
    <t>Table 2</t>
  </si>
  <si>
    <t>$ BDS M</t>
  </si>
  <si>
    <t xml:space="preserve">Tax Refunds </t>
  </si>
  <si>
    <t xml:space="preserve">Treasury </t>
  </si>
  <si>
    <t>BRA Tax Payable for SOEs</t>
  </si>
  <si>
    <t xml:space="preserve">Tax Refunds Net SOEs </t>
  </si>
  <si>
    <t xml:space="preserve">CIT </t>
  </si>
  <si>
    <t xml:space="preserve">PIT </t>
  </si>
  <si>
    <t xml:space="preserve">RTC </t>
  </si>
  <si>
    <t xml:space="preserve">VAT </t>
  </si>
  <si>
    <t xml:space="preserve">Customs Duties Refunds </t>
  </si>
  <si>
    <t xml:space="preserve">Total  Outstanding Refunds </t>
  </si>
  <si>
    <t>STATE OWNED ENTERPRISES</t>
  </si>
  <si>
    <t>ARREARS AT MAY 31, 2018</t>
  </si>
  <si>
    <t>Current</t>
  </si>
  <si>
    <t>31-60</t>
  </si>
  <si>
    <t>61-90</t>
  </si>
  <si>
    <t>91-120</t>
  </si>
  <si>
    <t>Over 120</t>
  </si>
  <si>
    <t>Total Overdue</t>
  </si>
  <si>
    <t>Total Payables</t>
  </si>
  <si>
    <t>Barbados Revenue Authority</t>
  </si>
  <si>
    <t>Queen Elizabeth Hospital</t>
  </si>
  <si>
    <t>LIST OF OUTSTANDING WIRE TRANSFERS &amp; Other Current Liabilities</t>
  </si>
  <si>
    <t>Transferee</t>
  </si>
  <si>
    <t xml:space="preserve">Amount </t>
  </si>
  <si>
    <t>(On behalf Of)</t>
  </si>
  <si>
    <t>as at May 31st, 2018</t>
  </si>
  <si>
    <t xml:space="preserve">BARBADOS ACCREDITATION COUNCIL </t>
  </si>
  <si>
    <t xml:space="preserve">BARBADOS AGRICULTURAL CREDIT TRUST LTD </t>
  </si>
  <si>
    <t xml:space="preserve">BARBADOS AGRICULTURAL MANAGEMENT CO.LTD      </t>
  </si>
  <si>
    <t xml:space="preserve">BARBADOS CANE INDUSTRY CORPORATION           </t>
  </si>
  <si>
    <t>BARBADOS COMMUNITY COLLEGE</t>
  </si>
  <si>
    <t xml:space="preserve">BARBADOS COMMUNITY COLLEGE-HOSPITALITY INST. </t>
  </si>
  <si>
    <t xml:space="preserve">BARBADOS CONFERENCE SERVICES LIMITED </t>
  </si>
  <si>
    <t xml:space="preserve">BARBADOS DEFENCE FORCE                       </t>
  </si>
  <si>
    <t xml:space="preserve">BARBADOS REVENUE AUTHORITY </t>
  </si>
  <si>
    <t xml:space="preserve">BARBADOS TOURISM INVESTMENT INC              </t>
  </si>
  <si>
    <t xml:space="preserve">BARBADOS TOURISM PRODUCT AUTHORITY </t>
  </si>
  <si>
    <t>BARBADOS WATER AUTHORITY</t>
  </si>
  <si>
    <t>B'dos Agency for Micro Enterprise Development</t>
  </si>
  <si>
    <t>B'DOS AGRICULTURAL DEVELOPMENT &amp; MARKETING</t>
  </si>
  <si>
    <t xml:space="preserve">B'DOS INVESTMENT &amp; DEVELOPEMENT CORPORATION </t>
  </si>
  <si>
    <t xml:space="preserve">CARIBBEAN BROADCASTING CORPORATION           </t>
  </si>
  <si>
    <t xml:space="preserve">CAVES OF BARBADOS LTD                        </t>
  </si>
  <si>
    <t>DIRECTOR B'DOS VOCATIONAL TRAINING BOARD</t>
  </si>
  <si>
    <t>DIRECTOR CHILD CARE BOARD</t>
  </si>
  <si>
    <t xml:space="preserve">DIRECTOR OF QUEEN ELIZABETH HOSPITAL         </t>
  </si>
  <si>
    <t>Director QEH</t>
  </si>
  <si>
    <t xml:space="preserve">ERDISTON COLLEGE </t>
  </si>
  <si>
    <t>FINANCIAL SERVICES COMMISSION</t>
  </si>
  <si>
    <t xml:space="preserve">GYMNASIUM LTD                                </t>
  </si>
  <si>
    <t>INVEST BARBADOS</t>
  </si>
  <si>
    <t>KENSINGTON OVAL MANAGEMENT</t>
  </si>
  <si>
    <t xml:space="preserve">NATIONAL ASSISTANCE BOARD                    </t>
  </si>
  <si>
    <t xml:space="preserve">NATIONAL CONSERVATION COMMISION </t>
  </si>
  <si>
    <t xml:space="preserve">NATIONAL COUNCIL ON SUBSTANCE ABUSE          </t>
  </si>
  <si>
    <t>NATIONAL CULTRUAL FOUNDATION</t>
  </si>
  <si>
    <t>NATIONAL HOUSING CORPORATION</t>
  </si>
  <si>
    <t>NATIONAL INITATIVE FOR SERVICE EXCELLENCE</t>
  </si>
  <si>
    <t>NATIONAL SPORTS COUNCIL</t>
  </si>
  <si>
    <t xml:space="preserve">SAMUEL JACKMAN PRESCOD POLYTECHNIC </t>
  </si>
  <si>
    <t>SANITATION SERVICE AUTHORITY</t>
  </si>
  <si>
    <t>SECRETARY TREASURER - ALEXANDRA SECONDARY</t>
  </si>
  <si>
    <t>SECRETARY TREASURER - ALLEYNE SCHOOL</t>
  </si>
  <si>
    <t xml:space="preserve">SECRETARY TREASURER - ALMA PARRIS SECONDARY </t>
  </si>
  <si>
    <t>SECRETARY TREASURER - CH CH FOUNDATION SCHOOL</t>
  </si>
  <si>
    <t xml:space="preserve">SECRETARY TREASURER - COLERIDGE &amp; PARRY      </t>
  </si>
  <si>
    <t xml:space="preserve">SECRETARY TREASURER - COMBERMERE SECONDARY   </t>
  </si>
  <si>
    <t>SECRETARY TREASURER - DARYLL JORDAN SECONDARY</t>
  </si>
  <si>
    <t>SECRETARY TREASURER - DEIGHTON GRIFFITH</t>
  </si>
  <si>
    <t xml:space="preserve">SECRETARY TREASURER - GRANTLEY ADAMS SEC.    </t>
  </si>
  <si>
    <t>SECRETARY TREASURER - GRAYDON SEALY SECONDARY</t>
  </si>
  <si>
    <t xml:space="preserve">SECRETARY TREASURER - HARRISON COLLEGE       </t>
  </si>
  <si>
    <t>SECRETARY TREASURER - LESTER VAUGHAN SECONDARY</t>
  </si>
  <si>
    <t>SECRETARY TREASURER - LODGE SCHOOL</t>
  </si>
  <si>
    <t xml:space="preserve">SECRETARY TREASURER - PARKINSON MEMORIAL     </t>
  </si>
  <si>
    <t xml:space="preserve">SECRETARY TREASURER - PRINCESS MARGARET SEC. </t>
  </si>
  <si>
    <t>SECRETARY TREASURER - QUEEN'S COLLEGE</t>
  </si>
  <si>
    <t xml:space="preserve">SECRETARY TREASURER - SPRINGER MEMORIAL      </t>
  </si>
  <si>
    <t xml:space="preserve">SECRETARY TREASURER - ST LEONARDS BOYS </t>
  </si>
  <si>
    <t>SECRETARY TREASURER - ST. GEORGE SECONDARY</t>
  </si>
  <si>
    <t>SECRETARY TREASURER - THE LODGE SCHOOL</t>
  </si>
  <si>
    <t xml:space="preserve">SECRETARY TREASURER - THE ST MICHAEL SCHOOL  </t>
  </si>
  <si>
    <t xml:space="preserve">SECRETARY TREASURER- CH CH FOUNDATION SCHOOL </t>
  </si>
  <si>
    <t>SECRETARY TREASURER FREDERICK SMITH SECONDARY</t>
  </si>
  <si>
    <t>SECRETARY TREASURER -LESTER VAUGHAN SECONDARY</t>
  </si>
  <si>
    <t>TECHNICAL &amp; VOCATIONAL EDUCATIONAL TRAIN COUN</t>
  </si>
  <si>
    <t xml:space="preserve">TRANSPORT AUTHORITY                          </t>
  </si>
  <si>
    <t xml:space="preserve">TRANSPORT BOARD                              </t>
  </si>
  <si>
    <t xml:space="preserve">URBAN DEVELOPMENT COMMISSION </t>
  </si>
  <si>
    <t>Government of Barbados</t>
  </si>
  <si>
    <t>Expenditure Aging</t>
  </si>
  <si>
    <t>As At May 31, 2018</t>
  </si>
  <si>
    <t>At 31-May-2018</t>
  </si>
  <si>
    <t>30 days</t>
  </si>
  <si>
    <t>31-60 days</t>
  </si>
  <si>
    <t>61-90 days</t>
  </si>
  <si>
    <t>Over 90 days</t>
  </si>
  <si>
    <t>Goods and Services (Private Sector)</t>
  </si>
  <si>
    <t>Transfers</t>
  </si>
  <si>
    <t>National Insurance</t>
  </si>
  <si>
    <t>National Insurance - Total</t>
  </si>
  <si>
    <t>National Insurance - Payroll</t>
  </si>
  <si>
    <t>National Insurance - Rent</t>
  </si>
  <si>
    <t>Customs Duties Refunds (BNOC)</t>
  </si>
  <si>
    <t>National Insurance - Non Contributory</t>
  </si>
  <si>
    <t>Description /Details</t>
  </si>
  <si>
    <t xml:space="preserve">Period </t>
  </si>
  <si>
    <t>Contributions</t>
  </si>
  <si>
    <t>Non Contributory Pensions</t>
  </si>
  <si>
    <t xml:space="preserve">Rent and Service Charge </t>
  </si>
  <si>
    <t xml:space="preserve">Loan </t>
  </si>
  <si>
    <t xml:space="preserve">Central Government </t>
  </si>
  <si>
    <t>July 16th -May 2018</t>
  </si>
  <si>
    <t xml:space="preserve">Queen Elizabeth Hospital </t>
  </si>
  <si>
    <t>Nov 2013-April2014,July 2014-May 2018</t>
  </si>
  <si>
    <t>Nov 2012 &amp; July 2013-May 2018</t>
  </si>
  <si>
    <t xml:space="preserve">Transport Board </t>
  </si>
  <si>
    <t xml:space="preserve"> July 2012-Mar 2013, Apr 2014- May 2018</t>
  </si>
  <si>
    <t xml:space="preserve">National Housing Corporation </t>
  </si>
  <si>
    <t>Oct 2014-May 2018</t>
  </si>
  <si>
    <t xml:space="preserve">Sanitation Service Authority </t>
  </si>
  <si>
    <t>Sep 2011,aug 2015-May 2018</t>
  </si>
  <si>
    <t xml:space="preserve">Barbados Agricultural Management Company </t>
  </si>
  <si>
    <t xml:space="preserve">Baobab Tower </t>
  </si>
  <si>
    <t>June 2016-May 2018</t>
  </si>
  <si>
    <t>Warrens Tower II</t>
  </si>
  <si>
    <t xml:space="preserve">Frank Walcott Building </t>
  </si>
  <si>
    <t>May 2016-May 2018</t>
  </si>
  <si>
    <t xml:space="preserve">E. Humphrey Walcott Building </t>
  </si>
  <si>
    <t>April 2015-May 2018</t>
  </si>
  <si>
    <t xml:space="preserve">CXC Building </t>
  </si>
  <si>
    <t xml:space="preserve">Four Seasons/ Clearwater loan </t>
  </si>
  <si>
    <t xml:space="preserve">Gross Amount owed to NIS </t>
  </si>
  <si>
    <t>Training Levy Collected obo Consolidated Fund</t>
  </si>
  <si>
    <t>Jan 2015-Mar 2018</t>
  </si>
  <si>
    <t xml:space="preserve">NET Amount owed to NIS </t>
  </si>
  <si>
    <t/>
  </si>
  <si>
    <t>2017/18(e)</t>
  </si>
  <si>
    <t xml:space="preserve">Consolidated Non-Financial Public Sector </t>
  </si>
  <si>
    <t>Adjustment</t>
  </si>
  <si>
    <t>Baseline</t>
  </si>
  <si>
    <t>2024/25</t>
  </si>
  <si>
    <t>Fiscal Year (In percent of GDP)</t>
  </si>
  <si>
    <t>Fiscal Year (In millions of Barbados Dollars)</t>
  </si>
  <si>
    <t>FY Nominal GDP</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</si>
</sst>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quot;#,##0.00;[Red]\-&quot;$&quot;#,##0.00"/>
    <numFmt numFmtId="166" formatCode="_-&quot;$&quot;* #,##0.00_-;\-&quot;$&quot;* #,##0.00_-;_-&quot;$&quot;* &quot;-&quot;??_-;_-@_-"/>
    <numFmt numFmtId="167" formatCode="_-* #,##0.00_-;\-* #,##0.00_-;_-* &quot;-&quot;??_-;_-@_-"/>
    <numFmt numFmtId="168" formatCode="_(* #,##0_);_(* \(#,##0\);_(* &quot;-&quot;??_);_(@_)"/>
    <numFmt numFmtId="169" formatCode="#,##0.0"/>
    <numFmt numFmtId="170" formatCode="0.0%"/>
    <numFmt numFmtId="171" formatCode="&quot;   &quot;@"/>
    <numFmt numFmtId="172" formatCode="&quot;      &quot;@"/>
    <numFmt numFmtId="173" formatCode="&quot;         &quot;@"/>
    <numFmt numFmtId="174" formatCode="&quot;            &quot;@"/>
    <numFmt numFmtId="175" formatCode="&quot;               &quot;@"/>
    <numFmt numFmtId="176" formatCode="[Black][&gt;0.05]#,##0.0;[Black][&lt;-0.05]\-#,##0.0;;"/>
    <numFmt numFmtId="177" formatCode="[Black][&gt;0.5]#,##0;[Black][&lt;-0.5]\-#,##0;;"/>
    <numFmt numFmtId="178" formatCode="_([$€-2]* #,##0.00_);_([$€-2]* \(#,##0.00\);_([$€-2]* &quot;-&quot;??_)"/>
    <numFmt numFmtId="179" formatCode="[&gt;=0.05]#,##0.0;[&lt;=-0.05]\-#,##0.0;?0.0"/>
    <numFmt numFmtId="180" formatCode="[Black]#,##0.0;[Black]\-#,##0.0;;"/>
    <numFmt numFmtId="181" formatCode="#,##0.0____"/>
    <numFmt numFmtId="182" formatCode="General\ \ \ \ \ \ "/>
    <numFmt numFmtId="183" formatCode="0.0\ \ \ \ \ \ \ \ "/>
    <numFmt numFmtId="184" formatCode="mmmm\ yyyy"/>
    <numFmt numFmtId="185" formatCode="_-[$€-2]* #,##0.00_-;\-[$€-2]* #,##0.00_-;_-[$€-2]* &quot;-&quot;??_-"/>
    <numFmt numFmtId="186" formatCode="yyyy\-mm\-dd;@"/>
    <numFmt numFmtId="187" formatCode="0.0"/>
    <numFmt numFmtId="188" formatCode="[$$-1009]#,##0.00;\-[$$-1009]#,##0.00"/>
    <numFmt numFmtId="189" formatCode="#.0"/>
    <numFmt numFmtId="190" formatCode="mmmm\ d\,\ yyyy"/>
    <numFmt numFmtId="191" formatCode="General_)"/>
    <numFmt numFmtId="192" formatCode="#"/>
    <numFmt numFmtId="193" formatCode=";;"/>
    <numFmt numFmtId="194" formatCode="\$#,##0.00\ ;\(\$#,##0.00\)"/>
    <numFmt numFmtId="195" formatCode="&quot;$&quot;#,##0.00"/>
    <numFmt numFmtId="196" formatCode="[$-409]d\-mmm\-yyyy;@"/>
    <numFmt numFmtId="197" formatCode="0.0_);\(0.0\)"/>
  </numFmts>
  <fonts count="1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b/>
      <sz val="10"/>
      <name val="Times New Roman"/>
      <family val="1"/>
    </font>
    <font>
      <sz val="8"/>
      <name val="ARIAL"/>
      <family val="2"/>
    </font>
    <font>
      <b/>
      <sz val="8"/>
      <color indexed="22"/>
      <name val="Arial"/>
      <family val="2"/>
    </font>
    <font>
      <b/>
      <sz val="10"/>
      <color indexed="22"/>
      <name val="Arial"/>
      <family val="2"/>
    </font>
    <font>
      <sz val="10"/>
      <color indexed="46"/>
      <name val="Arial"/>
      <family val="2"/>
    </font>
    <font>
      <sz val="10"/>
      <name val="Courier"/>
      <family val="3"/>
    </font>
    <font>
      <sz val="10"/>
      <name val="Helv"/>
    </font>
    <font>
      <sz val="9"/>
      <name val="Times New Roman"/>
      <family val="1"/>
    </font>
    <font>
      <sz val="8"/>
      <color indexed="12"/>
      <name val="Helv"/>
    </font>
    <font>
      <sz val="10"/>
      <name val="Geneva"/>
    </font>
    <font>
      <u/>
      <sz val="10"/>
      <color indexed="12"/>
      <name val="Arial"/>
      <family val="2"/>
    </font>
    <font>
      <sz val="8"/>
      <color indexed="8"/>
      <name val="Helv"/>
    </font>
    <font>
      <sz val="10"/>
      <name val="Tms Rmn"/>
    </font>
    <font>
      <sz val="12"/>
      <name val="Tms Rmn"/>
    </font>
    <font>
      <sz val="10"/>
      <color indexed="10"/>
      <name val="MS Sans Serif"/>
      <family val="2"/>
    </font>
    <font>
      <sz val="8"/>
      <name val="Helv"/>
    </font>
    <font>
      <b/>
      <i/>
      <sz val="10"/>
      <name val="Times New Roman"/>
      <family val="1"/>
    </font>
    <font>
      <vertAlign val="superscript"/>
      <sz val="9"/>
      <color indexed="8"/>
      <name val="Times New Roman"/>
      <family val="1"/>
    </font>
    <font>
      <sz val="9"/>
      <color indexed="8"/>
      <name val="Times New Roman"/>
      <family val="1"/>
    </font>
    <font>
      <sz val="12"/>
      <name val="Helv"/>
    </font>
    <font>
      <b/>
      <sz val="14"/>
      <name val="Helv"/>
    </font>
    <font>
      <sz val="24"/>
      <color indexed="13"/>
      <name val="Helv"/>
    </font>
    <font>
      <sz val="12"/>
      <name val="Times New Roman"/>
      <family val="1"/>
    </font>
    <font>
      <b/>
      <sz val="10"/>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b/>
      <sz val="10"/>
      <color theme="1"/>
      <name val="Arial"/>
      <family val="2"/>
    </font>
    <font>
      <sz val="12"/>
      <name val="SWISS"/>
    </font>
    <font>
      <b/>
      <sz val="12"/>
      <name val="Arial"/>
      <family val="2"/>
    </font>
    <font>
      <sz val="10"/>
      <color indexed="53"/>
      <name val="Comic Sans MS"/>
      <family val="4"/>
    </font>
    <font>
      <sz val="10"/>
      <name val="Geneva"/>
      <family val="2"/>
    </font>
    <font>
      <b/>
      <sz val="14"/>
      <color indexed="8"/>
      <name val="Courier"/>
      <family val="3"/>
    </font>
    <font>
      <b/>
      <sz val="14.05"/>
      <color indexed="8"/>
      <name val="Times New Roman"/>
      <family val="1"/>
    </font>
    <font>
      <b/>
      <sz val="18"/>
      <name val="Arial"/>
      <family val="2"/>
    </font>
    <font>
      <u/>
      <sz val="10"/>
      <color indexed="12"/>
      <name val="Courier"/>
      <family val="3"/>
    </font>
    <font>
      <i/>
      <sz val="16"/>
      <color indexed="8"/>
      <name val="Courier"/>
      <family val="3"/>
    </font>
    <font>
      <sz val="11"/>
      <name val="Helv"/>
    </font>
    <font>
      <sz val="9"/>
      <color indexed="8"/>
      <name val="Arial"/>
      <family val="2"/>
    </font>
    <font>
      <sz val="14"/>
      <color indexed="8"/>
      <name val="Courier"/>
      <family val="3"/>
    </font>
    <font>
      <sz val="12"/>
      <color indexed="24"/>
      <name val="Modern"/>
      <family val="3"/>
      <charset val="255"/>
    </font>
    <font>
      <b/>
      <sz val="18"/>
      <color indexed="24"/>
      <name val="Modern"/>
      <family val="3"/>
      <charset val="255"/>
    </font>
    <font>
      <b/>
      <sz val="12"/>
      <color indexed="24"/>
      <name val="Modern"/>
      <family val="3"/>
      <charset val="255"/>
    </font>
    <font>
      <sz val="9"/>
      <color theme="1"/>
      <name val="Arial"/>
      <family val="2"/>
    </font>
    <font>
      <u/>
      <sz val="11"/>
      <color theme="10"/>
      <name val="Calibri"/>
      <family val="2"/>
      <scheme val="minor"/>
    </font>
    <font>
      <u/>
      <sz val="11"/>
      <color theme="10"/>
      <name val="Calibri"/>
      <family val="2"/>
    </font>
    <font>
      <sz val="11"/>
      <color rgb="FF000000"/>
      <name val="Calibri"/>
      <family val="2"/>
      <scheme val="minor"/>
    </font>
    <font>
      <i/>
      <sz val="11"/>
      <color theme="1"/>
      <name val="Calibri"/>
      <family val="2"/>
      <scheme val="minor"/>
    </font>
    <font>
      <sz val="11"/>
      <color theme="1"/>
      <name val="Times New Roman"/>
      <family val="1"/>
    </font>
    <font>
      <b/>
      <sz val="11"/>
      <color theme="1"/>
      <name val="Times New Roman"/>
      <family val="1"/>
    </font>
    <font>
      <b/>
      <i/>
      <sz val="11"/>
      <color theme="1"/>
      <name val="Times New Roman"/>
      <family val="1"/>
    </font>
    <font>
      <i/>
      <sz val="11"/>
      <color theme="1"/>
      <name val="Times New Roman"/>
      <family val="1"/>
    </font>
    <font>
      <sz val="11"/>
      <color rgb="FF000000"/>
      <name val="Times New Roman"/>
      <family val="1"/>
    </font>
    <font>
      <b/>
      <sz val="14"/>
      <name val="Arial"/>
      <family val="2"/>
    </font>
    <font>
      <sz val="14"/>
      <name val="Arial"/>
      <family val="2"/>
    </font>
    <font>
      <b/>
      <sz val="14"/>
      <color indexed="8"/>
      <name val="Arial MT"/>
    </font>
    <font>
      <sz val="14"/>
      <color indexed="8"/>
      <name val="Arial MT"/>
    </font>
    <font>
      <b/>
      <sz val="14"/>
      <color indexed="8"/>
      <name val="Arial"/>
      <family val="2"/>
    </font>
    <font>
      <sz val="14"/>
      <color indexed="8"/>
      <name val="Arial"/>
      <family val="2"/>
    </font>
    <font>
      <sz val="10"/>
      <color rgb="FF000000"/>
      <name val="Tahoma"/>
      <family val="2"/>
    </font>
    <font>
      <b/>
      <sz val="16"/>
      <color theme="0"/>
      <name val="Times New Roman"/>
      <family val="1"/>
    </font>
    <font>
      <b/>
      <sz val="14"/>
      <color theme="0"/>
      <name val="Times New Roman"/>
      <family val="1"/>
    </font>
    <font>
      <b/>
      <sz val="14"/>
      <name val="Times New Roman"/>
      <family val="1"/>
    </font>
    <font>
      <b/>
      <sz val="14"/>
      <color theme="1"/>
      <name val="Times New Roman"/>
      <family val="1"/>
    </font>
    <font>
      <b/>
      <sz val="12"/>
      <name val="Times New Roman"/>
      <family val="1"/>
    </font>
    <font>
      <sz val="11"/>
      <color rgb="FF92D050"/>
      <name val="Calibri"/>
      <family val="2"/>
      <scheme val="minor"/>
    </font>
    <font>
      <sz val="12"/>
      <color theme="1" tint="4.9989318521683403E-2"/>
      <name val="Times New Roman"/>
      <family val="1"/>
    </font>
    <font>
      <b/>
      <sz val="11"/>
      <color rgb="FFFF0000"/>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2"/>
      <color theme="0"/>
      <name val="Calibri"/>
      <family val="2"/>
      <scheme val="minor"/>
    </font>
    <font>
      <sz val="11"/>
      <name val="Arial"/>
      <family val="2"/>
    </font>
    <font>
      <sz val="11"/>
      <color theme="1"/>
      <name val="Arial"/>
      <family val="2"/>
    </font>
    <font>
      <sz val="11"/>
      <color rgb="FFFF0000"/>
      <name val="Arial"/>
      <family val="2"/>
    </font>
    <font>
      <sz val="11"/>
      <name val="Calibri"/>
      <family val="2"/>
      <scheme val="minor"/>
    </font>
    <font>
      <u/>
      <sz val="11"/>
      <color theme="11"/>
      <name val="Calibri"/>
      <family val="2"/>
      <scheme val="minor"/>
    </font>
    <font>
      <sz val="16"/>
      <name val="Arial"/>
      <family val="2"/>
    </font>
    <font>
      <sz val="16"/>
      <color theme="1"/>
      <name val="Arial"/>
      <family val="2"/>
    </font>
    <font>
      <b/>
      <sz val="16"/>
      <name val="Arial"/>
      <family val="2"/>
    </font>
    <font>
      <b/>
      <sz val="16"/>
      <color theme="1"/>
      <name val="Arial"/>
      <family val="2"/>
    </font>
    <font>
      <b/>
      <u/>
      <sz val="16"/>
      <name val="Arial"/>
      <family val="2"/>
    </font>
    <font>
      <b/>
      <sz val="16"/>
      <color rgb="FFFF0000"/>
      <name val="Arial"/>
      <family val="2"/>
    </font>
    <font>
      <sz val="16"/>
      <color rgb="FFFF0000"/>
      <name val="Arial"/>
      <family val="2"/>
    </font>
    <font>
      <b/>
      <sz val="10"/>
      <color rgb="FF000000"/>
      <name val="Tahoma"/>
      <family val="2"/>
    </font>
    <font>
      <b/>
      <sz val="10"/>
      <color rgb="FF000000"/>
      <name val="Times New Roman"/>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1"/>
        <bgColor indexed="64"/>
      </patternFill>
    </fill>
    <fill>
      <patternFill patternType="solid">
        <fgColor indexed="46"/>
        <bgColor indexed="64"/>
      </patternFill>
    </fill>
    <fill>
      <patternFill patternType="solid">
        <fgColor indexed="22"/>
        <bgColor indexed="64"/>
      </patternFill>
    </fill>
    <fill>
      <patternFill patternType="solid">
        <fgColor indexed="9"/>
        <bgColor indexed="64"/>
      </patternFill>
    </fill>
    <fill>
      <patternFill patternType="solid">
        <fgColor indexed="13"/>
      </patternFill>
    </fill>
    <fill>
      <patternFill patternType="solid">
        <fgColor indexed="12"/>
      </patternFill>
    </fill>
    <fill>
      <patternFill patternType="solid">
        <fgColor indexed="61"/>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theme="8" tint="0.59999389629810485"/>
        <bgColor indexed="64"/>
      </patternFill>
    </fill>
    <fill>
      <patternFill patternType="solid">
        <fgColor rgb="FF00FF00"/>
        <bgColor indexed="64"/>
      </patternFill>
    </fill>
    <fill>
      <patternFill patternType="solid">
        <fgColor indexed="11"/>
        <bgColor indexed="64"/>
      </patternFill>
    </fill>
    <fill>
      <patternFill patternType="solid">
        <fgColor indexed="50"/>
        <bgColor indexed="64"/>
      </patternFill>
    </fill>
    <fill>
      <patternFill patternType="solid">
        <fgColor indexed="43"/>
        <bgColor indexed="64"/>
      </patternFill>
    </fill>
    <fill>
      <patternFill patternType="solid">
        <fgColor rgb="FF92D050"/>
        <bgColor indexed="64"/>
      </patternFill>
    </fill>
    <fill>
      <patternFill patternType="solid">
        <fgColor theme="3"/>
        <bgColor indexed="64"/>
      </patternFill>
    </fill>
    <fill>
      <patternFill patternType="solid">
        <fgColor theme="4"/>
        <bgColor indexed="64"/>
      </patternFill>
    </fill>
    <fill>
      <patternFill patternType="solid">
        <fgColor theme="1"/>
        <bgColor indexed="64"/>
      </patternFill>
    </fill>
    <fill>
      <patternFill patternType="solid">
        <fgColor rgb="FFFFFF00"/>
        <bgColor indexed="64"/>
      </patternFill>
    </fill>
  </fills>
  <borders count="20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15"/>
      </left>
      <right style="thin">
        <color indexed="15"/>
      </right>
      <top style="thin">
        <color indexed="15"/>
      </top>
      <bottom style="thin">
        <color indexed="15"/>
      </bottom>
      <diagonal/>
    </border>
    <border>
      <left style="thin">
        <color auto="1"/>
      </left>
      <right style="thin">
        <color auto="1"/>
      </right>
      <top style="thin">
        <color auto="1"/>
      </top>
      <bottom style="thin">
        <color auto="1"/>
      </bottom>
      <diagonal/>
    </border>
    <border>
      <left style="thin">
        <color indexed="8"/>
      </left>
      <right style="thin">
        <color indexed="8"/>
      </right>
      <top style="double">
        <color indexed="8"/>
      </top>
      <bottom style="thin">
        <color indexed="8"/>
      </bottom>
      <diagonal/>
    </border>
    <border>
      <left/>
      <right/>
      <top/>
      <bottom style="thin">
        <color auto="1"/>
      </bottom>
      <diagonal/>
    </border>
    <border>
      <left style="thin">
        <color auto="1"/>
      </left>
      <right/>
      <top style="thin">
        <color auto="1"/>
      </top>
      <bottom style="thin">
        <color auto="1"/>
      </bottom>
      <diagonal/>
    </border>
    <border>
      <left style="double">
        <color indexed="40"/>
      </left>
      <right style="double">
        <color indexed="40"/>
      </right>
      <top/>
      <bottom style="dashed">
        <color indexed="49"/>
      </bottom>
      <diagonal/>
    </border>
    <border>
      <left/>
      <right/>
      <top style="double">
        <color auto="1"/>
      </top>
      <bottom/>
      <diagonal/>
    </border>
    <border>
      <left/>
      <right/>
      <top style="thin">
        <color auto="1"/>
      </top>
      <bottom style="double">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style="thin">
        <color auto="1"/>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medium">
        <color auto="1"/>
      </right>
      <top style="thin">
        <color auto="1"/>
      </top>
      <bottom style="thin">
        <color auto="1"/>
      </bottom>
      <diagonal/>
    </border>
    <border>
      <left/>
      <right style="medium">
        <color auto="1"/>
      </right>
      <top style="thin">
        <color auto="1"/>
      </top>
      <bottom/>
      <diagonal/>
    </border>
    <border>
      <left/>
      <right/>
      <top style="thin">
        <color auto="1"/>
      </top>
      <bottom/>
      <diagonal/>
    </border>
    <border>
      <left style="medium">
        <color auto="1"/>
      </left>
      <right/>
      <top style="thin">
        <color indexed="8"/>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style="thin">
        <color indexed="8"/>
      </left>
      <right style="thin">
        <color auto="1"/>
      </right>
      <top style="thin">
        <color indexed="8"/>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indexed="8"/>
      </top>
      <bottom style="thin">
        <color auto="1"/>
      </bottom>
      <diagonal/>
    </border>
    <border>
      <left style="thin">
        <color indexed="8"/>
      </left>
      <right style="medium">
        <color auto="1"/>
      </right>
      <top/>
      <bottom/>
      <diagonal/>
    </border>
    <border>
      <left style="thin">
        <color auto="1"/>
      </left>
      <right style="thin">
        <color auto="1"/>
      </right>
      <top/>
      <bottom style="thin">
        <color auto="1"/>
      </bottom>
      <diagonal/>
    </border>
    <border>
      <left style="thin">
        <color indexed="8"/>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rgb="FF000000"/>
      </left>
      <right/>
      <top style="thin">
        <color rgb="FF000000"/>
      </top>
      <bottom/>
      <diagonal/>
    </border>
    <border>
      <left/>
      <right/>
      <top style="thin">
        <color indexed="8"/>
      </top>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indexed="8"/>
      </top>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indexed="8"/>
      </top>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indexed="8"/>
      </top>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indexed="8"/>
      </top>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top style="thin">
        <color indexed="8"/>
      </top>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indexed="8"/>
      </top>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indexed="8"/>
      </left>
      <right/>
      <top style="thin">
        <color indexed="8"/>
      </top>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rgb="FF000000"/>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rgb="FF000000"/>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8"/>
      </left>
      <right style="medium">
        <color auto="1"/>
      </right>
      <top style="thin">
        <color indexed="8"/>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style="thin">
        <color indexed="8"/>
      </left>
      <right/>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auto="1"/>
      </top>
      <bottom/>
      <diagonal/>
    </border>
    <border>
      <left style="thin">
        <color auto="1"/>
      </left>
      <right/>
      <top/>
      <bottom style="medium">
        <color auto="1"/>
      </bottom>
      <diagonal/>
    </border>
    <border>
      <left/>
      <right style="thin">
        <color auto="1"/>
      </right>
      <top/>
      <bottom style="medium">
        <color auto="1"/>
      </bottom>
      <diagonal/>
    </border>
    <border>
      <left/>
      <right/>
      <top/>
      <bottom style="thin">
        <color theme="0"/>
      </bottom>
      <diagonal/>
    </border>
    <border>
      <left/>
      <right/>
      <top style="thin">
        <color auto="1"/>
      </top>
      <bottom style="thin">
        <color theme="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double">
        <color auto="1"/>
      </left>
      <right/>
      <top style="double">
        <color auto="1"/>
      </top>
      <bottom style="double">
        <color auto="1"/>
      </bottom>
      <diagonal/>
    </border>
    <border>
      <left style="double">
        <color auto="1"/>
      </left>
      <right style="double">
        <color auto="1"/>
      </right>
      <top style="double">
        <color auto="1"/>
      </top>
      <bottom style="double">
        <color auto="1"/>
      </bottom>
      <diagonal/>
    </border>
  </borders>
  <cellStyleXfs count="3869">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3" fillId="44"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36" borderId="0" applyNumberFormat="0" applyBorder="0" applyAlignment="0" applyProtection="0"/>
    <xf numFmtId="0" fontId="25" fillId="52" borderId="10" applyNumberFormat="0" applyAlignment="0" applyProtection="0"/>
    <xf numFmtId="0" fontId="22" fillId="34" borderId="0" applyNumberFormat="0" applyBorder="0" applyAlignment="0" applyProtection="0"/>
    <xf numFmtId="43" fontId="19" fillId="0" borderId="0" applyFont="0" applyFill="0" applyBorder="0" applyAlignment="0" applyProtection="0"/>
    <xf numFmtId="0" fontId="22" fillId="37" borderId="0" applyNumberFormat="0" applyBorder="0" applyAlignment="0" applyProtection="0"/>
    <xf numFmtId="0" fontId="22" fillId="38" borderId="0" applyNumberFormat="0" applyBorder="0" applyAlignment="0" applyProtection="0"/>
    <xf numFmtId="0" fontId="19" fillId="0" borderId="0"/>
    <xf numFmtId="0" fontId="22" fillId="35" borderId="0" applyNumberFormat="0" applyBorder="0" applyAlignment="0" applyProtection="0"/>
    <xf numFmtId="0" fontId="23" fillId="42" borderId="0" applyNumberFormat="0" applyBorder="0" applyAlignment="0" applyProtection="0"/>
    <xf numFmtId="0" fontId="23" fillId="45" borderId="0" applyNumberFormat="0" applyBorder="0" applyAlignment="0" applyProtection="0"/>
    <xf numFmtId="0" fontId="31" fillId="0" borderId="14" applyNumberFormat="0" applyFill="0" applyAlignment="0" applyProtection="0"/>
    <xf numFmtId="0" fontId="26" fillId="53" borderId="11" applyNumberFormat="0" applyAlignment="0" applyProtection="0"/>
    <xf numFmtId="0" fontId="23" fillId="46" borderId="0" applyNumberFormat="0" applyBorder="0" applyAlignment="0" applyProtection="0"/>
    <xf numFmtId="0" fontId="23" fillId="47" borderId="0" applyNumberFormat="0" applyBorder="0" applyAlignment="0" applyProtection="0"/>
    <xf numFmtId="0" fontId="22" fillId="37" borderId="0" applyNumberFormat="0" applyBorder="0" applyAlignment="0" applyProtection="0"/>
    <xf numFmtId="0" fontId="22" fillId="55" borderId="16" applyNumberFormat="0" applyFont="0" applyAlignment="0" applyProtection="0"/>
    <xf numFmtId="0" fontId="27" fillId="0" borderId="0" applyNumberFormat="0" applyFill="0" applyBorder="0" applyAlignment="0" applyProtection="0"/>
    <xf numFmtId="0" fontId="23" fillId="45" borderId="0" applyNumberFormat="0" applyBorder="0" applyAlignment="0" applyProtection="0"/>
    <xf numFmtId="0" fontId="23" fillId="49" borderId="0" applyNumberFormat="0" applyBorder="0" applyAlignment="0" applyProtection="0"/>
    <xf numFmtId="0" fontId="31" fillId="0" borderId="0" applyNumberFormat="0" applyFill="0" applyBorder="0" applyAlignment="0" applyProtection="0"/>
    <xf numFmtId="0" fontId="22" fillId="40" borderId="0" applyNumberFormat="0" applyBorder="0" applyAlignment="0" applyProtection="0"/>
    <xf numFmtId="0" fontId="34" fillId="54" borderId="0" applyNumberFormat="0" applyBorder="0" applyAlignment="0" applyProtection="0"/>
    <xf numFmtId="0" fontId="23" fillId="51" borderId="0" applyNumberFormat="0" applyBorder="0" applyAlignment="0" applyProtection="0"/>
    <xf numFmtId="0" fontId="32" fillId="39" borderId="10" applyNumberFormat="0" applyAlignment="0" applyProtection="0"/>
    <xf numFmtId="0" fontId="33" fillId="0" borderId="15" applyNumberFormat="0" applyFill="0" applyAlignment="0" applyProtection="0"/>
    <xf numFmtId="0" fontId="29" fillId="0" borderId="12" applyNumberFormat="0" applyFill="0" applyAlignment="0" applyProtection="0"/>
    <xf numFmtId="0" fontId="23" fillId="46" borderId="0" applyNumberFormat="0" applyBorder="0" applyAlignment="0" applyProtection="0"/>
    <xf numFmtId="0" fontId="30" fillId="0" borderId="13" applyNumberFormat="0" applyFill="0" applyAlignment="0" applyProtection="0"/>
    <xf numFmtId="0" fontId="28" fillId="36" borderId="0" applyNumberFormat="0" applyBorder="0" applyAlignment="0" applyProtection="0"/>
    <xf numFmtId="0" fontId="23" fillId="48" borderId="0" applyNumberFormat="0" applyBorder="0" applyAlignment="0" applyProtection="0"/>
    <xf numFmtId="0" fontId="24" fillId="35" borderId="0" applyNumberFormat="0" applyBorder="0" applyAlignment="0" applyProtection="0"/>
    <xf numFmtId="0" fontId="23" fillId="41" borderId="0" applyNumberFormat="0" applyBorder="0" applyAlignment="0" applyProtection="0"/>
    <xf numFmtId="0" fontId="23" fillId="50" borderId="0" applyNumberFormat="0" applyBorder="0" applyAlignment="0" applyProtection="0"/>
    <xf numFmtId="0" fontId="35" fillId="52" borderId="17" applyNumberFormat="0" applyAlignment="0" applyProtection="0"/>
    <xf numFmtId="0" fontId="36" fillId="0" borderId="0" applyNumberFormat="0" applyFill="0" applyBorder="0" applyAlignment="0" applyProtection="0"/>
    <xf numFmtId="0" fontId="37" fillId="0" borderId="18" applyNumberFormat="0" applyFill="0" applyAlignment="0" applyProtection="0"/>
    <xf numFmtId="0" fontId="38" fillId="0" borderId="0" applyNumberFormat="0" applyFill="0" applyBorder="0" applyAlignment="0" applyProtection="0"/>
    <xf numFmtId="0" fontId="39" fillId="0" borderId="0"/>
    <xf numFmtId="171" fontId="47" fillId="0" borderId="0" applyFont="0" applyFill="0" applyBorder="0" applyAlignment="0" applyProtection="0"/>
    <xf numFmtId="172" fontId="4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173" fontId="47" fillId="0" borderId="0" applyFont="0" applyFill="0" applyBorder="0" applyAlignment="0" applyProtection="0"/>
    <xf numFmtId="174" fontId="4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175" fontId="4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19">
      <protection hidden="1"/>
    </xf>
    <xf numFmtId="0" fontId="49" fillId="52" borderId="19" applyNumberFormat="0" applyFont="0" applyBorder="0" applyAlignment="0" applyProtection="0">
      <protection hidden="1"/>
    </xf>
    <xf numFmtId="2" fontId="42" fillId="56" borderId="0"/>
    <xf numFmtId="43" fontId="3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0" fontId="59" fillId="0" borderId="0"/>
    <xf numFmtId="0" fontId="59" fillId="0" borderId="20"/>
    <xf numFmtId="178" fontId="19"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0" fontId="41" fillId="33" borderId="21"/>
    <xf numFmtId="0" fontId="41" fillId="57" borderId="21"/>
    <xf numFmtId="38" fontId="41" fillId="58" borderId="0" applyNumberFormat="0" applyBorder="0" applyAlignment="0" applyProtection="0"/>
    <xf numFmtId="0" fontId="50" fillId="0" borderId="0" applyNumberFormat="0" applyFill="0" applyBorder="0" applyAlignment="0" applyProtection="0">
      <alignment vertical="top"/>
      <protection locked="0"/>
    </xf>
    <xf numFmtId="169" fontId="47" fillId="0" borderId="0" applyFont="0" applyFill="0" applyBorder="0" applyAlignment="0" applyProtection="0"/>
    <xf numFmtId="3" fontId="47" fillId="0" borderId="0" applyFont="0" applyFill="0" applyBorder="0" applyAlignment="0" applyProtection="0"/>
    <xf numFmtId="10" fontId="41" fillId="59" borderId="22" applyNumberFormat="0" applyBorder="0" applyAlignment="0" applyProtection="0"/>
    <xf numFmtId="0" fontId="60" fillId="60" borderId="20"/>
    <xf numFmtId="0" fontId="51" fillId="0" borderId="19">
      <alignment horizontal="left"/>
      <protection locked="0"/>
    </xf>
    <xf numFmtId="41" fontId="39" fillId="0" borderId="0" applyFont="0" applyFill="0" applyBorder="0" applyAlignment="0" applyProtection="0"/>
    <xf numFmtId="43" fontId="39" fillId="0" borderId="0" applyFont="0" applyFill="0" applyBorder="0" applyAlignment="0" applyProtection="0"/>
    <xf numFmtId="42" fontId="39" fillId="0" borderId="0" applyFont="0" applyFill="0" applyBorder="0" applyAlignment="0" applyProtection="0"/>
    <xf numFmtId="44" fontId="39" fillId="0" borderId="0" applyFont="0" applyFill="0" applyBorder="0" applyAlignment="0" applyProtection="0"/>
    <xf numFmtId="0" fontId="45" fillId="0" borderId="0"/>
    <xf numFmtId="0" fontId="46" fillId="0" borderId="0"/>
    <xf numFmtId="0" fontId="52" fillId="0" borderId="0"/>
    <xf numFmtId="0" fontId="5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39" fillId="0" borderId="0" applyFill="0" applyBorder="0" applyAlignment="0" applyProtection="0">
      <alignment horizontal="right"/>
    </xf>
    <xf numFmtId="0" fontId="19" fillId="55" borderId="16" applyNumberFormat="0" applyFont="0" applyAlignment="0" applyProtection="0"/>
    <xf numFmtId="9" fontId="39" fillId="0" borderId="0" applyFont="0" applyFill="0" applyBorder="0" applyAlignment="0" applyProtection="0"/>
    <xf numFmtId="10" fontId="19" fillId="0" borderId="0" applyFont="0" applyFill="0" applyBorder="0" applyAlignment="0" applyProtection="0"/>
    <xf numFmtId="9" fontId="19" fillId="0" borderId="0" applyFont="0" applyFill="0" applyBorder="0" applyAlignment="0" applyProtection="0"/>
    <xf numFmtId="180" fontId="39" fillId="0" borderId="0" applyFont="0" applyFill="0" applyBorder="0" applyAlignment="0" applyProtection="0"/>
    <xf numFmtId="176" fontId="47" fillId="0" borderId="0" applyFont="0" applyFill="0" applyBorder="0" applyAlignment="0" applyProtection="0"/>
    <xf numFmtId="177" fontId="47" fillId="0" borderId="0" applyFont="0" applyFill="0" applyBorder="0" applyAlignment="0" applyProtection="0"/>
    <xf numFmtId="181" fontId="39" fillId="0" borderId="0" applyFill="0" applyBorder="0" applyAlignment="0">
      <alignment horizontal="centerContinuous"/>
    </xf>
    <xf numFmtId="0" fontId="47" fillId="0" borderId="0"/>
    <xf numFmtId="0" fontId="54" fillId="0" borderId="19" applyNumberFormat="0" applyFill="0" applyBorder="0" applyAlignment="0" applyProtection="0">
      <protection hidden="1"/>
    </xf>
    <xf numFmtId="0" fontId="59" fillId="0" borderId="0"/>
    <xf numFmtId="0" fontId="43" fillId="0" borderId="0"/>
    <xf numFmtId="0" fontId="59" fillId="0" borderId="20"/>
    <xf numFmtId="0" fontId="61" fillId="61" borderId="0"/>
    <xf numFmtId="0" fontId="44" fillId="62" borderId="0"/>
    <xf numFmtId="0" fontId="55" fillId="52" borderId="19"/>
    <xf numFmtId="0" fontId="60" fillId="0" borderId="23"/>
    <xf numFmtId="0" fontId="60" fillId="0" borderId="20"/>
    <xf numFmtId="0" fontId="45" fillId="0" borderId="0"/>
    <xf numFmtId="0" fontId="39" fillId="0" borderId="0"/>
    <xf numFmtId="0" fontId="40" fillId="0" borderId="0" applyNumberFormat="0" applyFont="0" applyFill="0" applyBorder="0" applyAlignment="0" applyProtection="0">
      <alignment vertical="top"/>
    </xf>
    <xf numFmtId="0" fontId="56" fillId="0" borderId="0" applyNumberFormat="0" applyFont="0" applyFill="0" applyBorder="0" applyAlignment="0" applyProtection="0">
      <alignment vertical="top"/>
    </xf>
    <xf numFmtId="0" fontId="56" fillId="0" borderId="0" applyNumberFormat="0" applyFont="0" applyFill="0" applyBorder="0" applyAlignment="0" applyProtection="0">
      <alignment vertical="top"/>
    </xf>
    <xf numFmtId="0" fontId="40" fillId="0" borderId="0" applyNumberFormat="0" applyFont="0" applyFill="0" applyBorder="0" applyAlignment="0" applyProtection="0"/>
    <xf numFmtId="0" fontId="40" fillId="0" borderId="0" applyNumberFormat="0" applyFont="0" applyFill="0" applyBorder="0" applyAlignment="0" applyProtection="0">
      <alignment horizontal="left" vertical="top"/>
    </xf>
    <xf numFmtId="0" fontId="40" fillId="0" borderId="0" applyNumberFormat="0" applyFont="0" applyFill="0" applyBorder="0" applyAlignment="0" applyProtection="0">
      <alignment horizontal="left" vertical="top"/>
    </xf>
    <xf numFmtId="0" fontId="40" fillId="0" borderId="0" applyNumberFormat="0" applyFont="0" applyFill="0" applyBorder="0" applyAlignment="0" applyProtection="0">
      <alignment horizontal="left" vertical="top"/>
    </xf>
    <xf numFmtId="0" fontId="39" fillId="0" borderId="0"/>
    <xf numFmtId="0" fontId="57" fillId="0" borderId="0">
      <alignment horizontal="left" wrapText="1"/>
    </xf>
    <xf numFmtId="0" fontId="58" fillId="0" borderId="24" applyNumberFormat="0" applyFont="0" applyFill="0" applyBorder="0" applyAlignment="0" applyProtection="0">
      <alignment horizontal="center" wrapText="1"/>
    </xf>
    <xf numFmtId="182" fontId="47" fillId="0" borderId="0" applyNumberFormat="0" applyFont="0" applyFill="0" applyBorder="0" applyAlignment="0" applyProtection="0">
      <alignment horizontal="right"/>
    </xf>
    <xf numFmtId="0" fontId="58" fillId="0" borderId="0" applyNumberFormat="0" applyFont="0" applyFill="0" applyBorder="0" applyAlignment="0" applyProtection="0">
      <alignment horizontal="left" indent="1"/>
    </xf>
    <xf numFmtId="183" fontId="58" fillId="0" borderId="0" applyNumberFormat="0" applyFont="0" applyFill="0" applyBorder="0" applyAlignment="0" applyProtection="0"/>
    <xf numFmtId="0" fontId="39" fillId="0" borderId="24" applyNumberFormat="0" applyFont="0" applyFill="0" applyAlignment="0" applyProtection="0">
      <alignment horizontal="center"/>
    </xf>
    <xf numFmtId="0" fontId="39" fillId="0" borderId="0" applyNumberFormat="0" applyFont="0" applyFill="0" applyBorder="0" applyAlignment="0" applyProtection="0">
      <alignment horizontal="left" wrapText="1" indent="1"/>
    </xf>
    <xf numFmtId="0" fontId="58" fillId="0" borderId="0" applyNumberFormat="0" applyFont="0" applyFill="0" applyBorder="0" applyAlignment="0" applyProtection="0">
      <alignment horizontal="left" indent="1"/>
    </xf>
    <xf numFmtId="0" fontId="39" fillId="0" borderId="0" applyNumberFormat="0" applyFont="0" applyFill="0" applyBorder="0" applyAlignment="0" applyProtection="0">
      <alignment horizontal="left" wrapText="1" indent="2"/>
    </xf>
    <xf numFmtId="184" fontId="39" fillId="0" borderId="0">
      <alignment horizontal="right"/>
    </xf>
    <xf numFmtId="0" fontId="32" fillId="39" borderId="10" applyNumberFormat="0" applyAlignment="0" applyProtection="0"/>
    <xf numFmtId="0" fontId="32" fillId="39" borderId="10" applyNumberFormat="0" applyAlignment="0" applyProtection="0"/>
    <xf numFmtId="0" fontId="32" fillId="39" borderId="10" applyNumberFormat="0" applyAlignment="0" applyProtection="0"/>
    <xf numFmtId="0" fontId="32" fillId="39" borderId="10" applyNumberFormat="0" applyAlignment="0" applyProtection="0"/>
    <xf numFmtId="0" fontId="32" fillId="39" borderId="10" applyNumberFormat="0" applyAlignment="0" applyProtection="0"/>
    <xf numFmtId="0" fontId="32" fillId="39" borderId="10" applyNumberFormat="0" applyAlignment="0" applyProtection="0"/>
    <xf numFmtId="0" fontId="32" fillId="39" borderId="10" applyNumberFormat="0" applyAlignment="0" applyProtection="0"/>
    <xf numFmtId="0" fontId="32" fillId="39" borderId="10" applyNumberFormat="0" applyAlignment="0" applyProtection="0"/>
    <xf numFmtId="0" fontId="32" fillId="39" borderId="10" applyNumberFormat="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6" fillId="0" borderId="0" applyNumberFormat="0" applyFill="0" applyBorder="0" applyAlignment="0" applyProtection="0"/>
    <xf numFmtId="9" fontId="39"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32" fillId="39" borderId="10" applyNumberFormat="0" applyAlignment="0" applyProtection="0"/>
    <xf numFmtId="0" fontId="19" fillId="0" borderId="0"/>
    <xf numFmtId="0" fontId="19" fillId="0" borderId="0"/>
    <xf numFmtId="0" fontId="19" fillId="0" borderId="0"/>
    <xf numFmtId="0" fontId="32" fillId="39" borderId="10" applyNumberFormat="0" applyAlignment="0" applyProtection="0"/>
    <xf numFmtId="0" fontId="36" fillId="0" borderId="0" applyNumberFormat="0" applyFill="0" applyBorder="0" applyAlignment="0" applyProtection="0"/>
    <xf numFmtId="0" fontId="19" fillId="0" borderId="0"/>
    <xf numFmtId="0" fontId="36" fillId="0" borderId="0" applyNumberFormat="0" applyFill="0" applyBorder="0" applyAlignment="0" applyProtection="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45" fillId="0" borderId="0">
      <alignment vertical="center"/>
    </xf>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37" borderId="0" applyNumberFormat="0" applyBorder="0" applyAlignment="0" applyProtection="0"/>
    <xf numFmtId="0" fontId="64" fillId="40" borderId="0" applyNumberFormat="0" applyBorder="0" applyAlignment="0" applyProtection="0"/>
    <xf numFmtId="0" fontId="64" fillId="43" borderId="0" applyNumberFormat="0" applyBorder="0" applyAlignment="0" applyProtection="0"/>
    <xf numFmtId="0" fontId="65" fillId="44"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xf numFmtId="0" fontId="65" fillId="49" borderId="0" applyNumberFormat="0" applyBorder="0" applyAlignment="0" applyProtection="0"/>
    <xf numFmtId="0" fontId="65" fillId="50"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51" borderId="0" applyNumberFormat="0" applyBorder="0" applyAlignment="0" applyProtection="0"/>
    <xf numFmtId="0" fontId="66" fillId="35" borderId="0" applyNumberFormat="0" applyBorder="0" applyAlignment="0" applyProtection="0"/>
    <xf numFmtId="40" fontId="21" fillId="63" borderId="0"/>
    <xf numFmtId="0" fontId="67" fillId="52" borderId="10" applyNumberFormat="0" applyAlignment="0" applyProtection="0"/>
    <xf numFmtId="0" fontId="68" fillId="53" borderId="11" applyNumberFormat="0" applyAlignment="0" applyProtection="0"/>
    <xf numFmtId="3" fontId="78" fillId="59" borderId="22" applyFont="0" applyFill="0" applyProtection="0">
      <alignment horizontal="right"/>
    </xf>
    <xf numFmtId="43" fontId="19" fillId="0" borderId="0" applyFont="0" applyFill="0" applyBorder="0" applyAlignment="0" applyProtection="0"/>
    <xf numFmtId="178" fontId="19" fillId="0" borderId="0" applyFont="0" applyFill="0" applyBorder="0" applyAlignment="0" applyProtection="0"/>
    <xf numFmtId="0" fontId="69" fillId="0" borderId="0" applyNumberFormat="0" applyFill="0" applyBorder="0" applyAlignment="0" applyProtection="0"/>
    <xf numFmtId="0" fontId="70" fillId="36" borderId="0" applyNumberFormat="0" applyBorder="0" applyAlignment="0" applyProtection="0"/>
    <xf numFmtId="0" fontId="19" fillId="58" borderId="22" applyNumberFormat="0" applyFont="0" applyBorder="0" applyAlignment="0" applyProtection="0">
      <alignment horizontal="center"/>
    </xf>
    <xf numFmtId="0" fontId="71" fillId="0" borderId="12" applyNumberFormat="0" applyFill="0" applyAlignment="0" applyProtection="0"/>
    <xf numFmtId="0" fontId="72" fillId="0" borderId="13" applyNumberFormat="0" applyFill="0" applyAlignment="0" applyProtection="0"/>
    <xf numFmtId="0" fontId="73" fillId="0" borderId="14" applyNumberFormat="0" applyFill="0" applyAlignment="0" applyProtection="0"/>
    <xf numFmtId="0" fontId="73" fillId="0" borderId="0" applyNumberFormat="0" applyFill="0" applyBorder="0" applyAlignment="0" applyProtection="0"/>
    <xf numFmtId="3" fontId="19" fillId="64" borderId="22" applyFont="0" applyProtection="0">
      <alignment horizontal="right"/>
    </xf>
    <xf numFmtId="0" fontId="19" fillId="64" borderId="25" applyNumberFormat="0" applyFont="0" applyBorder="0" applyAlignment="0" applyProtection="0">
      <alignment horizontal="left"/>
    </xf>
    <xf numFmtId="0" fontId="74" fillId="39" borderId="10" applyNumberFormat="0" applyAlignment="0" applyProtection="0"/>
    <xf numFmtId="186" fontId="19" fillId="33" borderId="22" applyFont="0" applyAlignment="0">
      <protection locked="0"/>
    </xf>
    <xf numFmtId="3" fontId="19" fillId="33" borderId="22" applyFont="0">
      <alignment horizontal="right"/>
      <protection locked="0"/>
    </xf>
    <xf numFmtId="0" fontId="19" fillId="33" borderId="22" applyFont="0">
      <alignment horizontal="center" wrapText="1"/>
      <protection locked="0"/>
    </xf>
    <xf numFmtId="0" fontId="75" fillId="0" borderId="15" applyNumberFormat="0" applyFill="0" applyAlignment="0" applyProtection="0"/>
    <xf numFmtId="0" fontId="76" fillId="54" borderId="0" applyNumberFormat="0" applyBorder="0" applyAlignment="0" applyProtection="0"/>
    <xf numFmtId="0" fontId="19" fillId="0" borderId="0"/>
    <xf numFmtId="0" fontId="19" fillId="0" borderId="0"/>
    <xf numFmtId="0" fontId="19" fillId="55" borderId="16" applyNumberFormat="0" applyFont="0" applyAlignment="0" applyProtection="0"/>
    <xf numFmtId="3" fontId="19" fillId="63" borderId="22">
      <alignment horizontal="right"/>
      <protection locked="0"/>
    </xf>
    <xf numFmtId="0" fontId="77" fillId="52" borderId="17" applyNumberFormat="0" applyAlignment="0" applyProtection="0"/>
    <xf numFmtId="3" fontId="19" fillId="59" borderId="22" applyFont="0" applyProtection="0">
      <alignment horizontal="right"/>
    </xf>
    <xf numFmtId="9" fontId="19" fillId="59" borderId="22" applyFont="0" applyProtection="0">
      <alignment horizontal="right"/>
    </xf>
    <xf numFmtId="0" fontId="36" fillId="0" borderId="0" applyNumberFormat="0" applyFill="0" applyBorder="0" applyAlignment="0" applyProtection="0"/>
    <xf numFmtId="0" fontId="63" fillId="0" borderId="18" applyNumberFormat="0" applyFill="0" applyAlignment="0" applyProtection="0"/>
    <xf numFmtId="0" fontId="78" fillId="0" borderId="0" applyNumberFormat="0" applyFill="0" applyBorder="0" applyAlignment="0" applyProtection="0"/>
    <xf numFmtId="0" fontId="19" fillId="0" borderId="0"/>
    <xf numFmtId="0" fontId="45" fillId="0" borderId="0">
      <alignment vertical="center"/>
    </xf>
    <xf numFmtId="0" fontId="36" fillId="0" borderId="0" applyNumberFormat="0" applyFill="0" applyBorder="0" applyAlignment="0" applyProtection="0"/>
    <xf numFmtId="0" fontId="74" fillId="39" borderId="10" applyNumberFormat="0" applyAlignment="0" applyProtection="0"/>
    <xf numFmtId="0" fontId="74" fillId="39" borderId="10" applyNumberFormat="0" applyAlignment="0" applyProtection="0"/>
    <xf numFmtId="0" fontId="36" fillId="0" borderId="0" applyNumberFormat="0" applyFill="0" applyBorder="0" applyAlignment="0" applyProtection="0"/>
    <xf numFmtId="0" fontId="19" fillId="0" borderId="0"/>
    <xf numFmtId="0" fontId="19" fillId="0" borderId="0"/>
    <xf numFmtId="0" fontId="45" fillId="0" borderId="0">
      <alignment vertical="center"/>
    </xf>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37" borderId="0" applyNumberFormat="0" applyBorder="0" applyAlignment="0" applyProtection="0"/>
    <xf numFmtId="0" fontId="64" fillId="40" borderId="0" applyNumberFormat="0" applyBorder="0" applyAlignment="0" applyProtection="0"/>
    <xf numFmtId="0" fontId="64" fillId="43" borderId="0" applyNumberFormat="0" applyBorder="0" applyAlignment="0" applyProtection="0"/>
    <xf numFmtId="0" fontId="65" fillId="44"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xf numFmtId="0" fontId="65" fillId="49" borderId="0" applyNumberFormat="0" applyBorder="0" applyAlignment="0" applyProtection="0"/>
    <xf numFmtId="0" fontId="65" fillId="50"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51" borderId="0" applyNumberFormat="0" applyBorder="0" applyAlignment="0" applyProtection="0"/>
    <xf numFmtId="0" fontId="41" fillId="0" borderId="0" applyNumberFormat="0" applyBorder="0" applyProtection="0">
      <alignment horizontal="left" vertical="center" wrapText="1"/>
      <protection locked="0"/>
    </xf>
    <xf numFmtId="0" fontId="41" fillId="0" borderId="0" applyNumberFormat="0" applyBorder="0" applyProtection="0">
      <alignment horizontal="left" vertical="center" wrapText="1"/>
      <protection locked="0"/>
    </xf>
    <xf numFmtId="0" fontId="66" fillId="35" borderId="0" applyNumberFormat="0" applyBorder="0" applyAlignment="0" applyProtection="0"/>
    <xf numFmtId="0" fontId="67" fillId="52" borderId="10" applyNumberFormat="0" applyAlignment="0" applyProtection="0"/>
    <xf numFmtId="0" fontId="68" fillId="53" borderId="11" applyNumberFormat="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Protection="0">
      <alignment horizontal="right" vertical="center"/>
      <protection locked="0"/>
    </xf>
    <xf numFmtId="0" fontId="41" fillId="0" borderId="0" applyNumberFormat="0" applyFill="0" applyBorder="0" applyProtection="0">
      <alignment horizontal="right" vertical="center"/>
      <protection locked="0"/>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0" fontId="69" fillId="0" borderId="0" applyNumberFormat="0" applyFill="0" applyBorder="0" applyAlignment="0" applyProtection="0"/>
    <xf numFmtId="0" fontId="70" fillId="36" borderId="0" applyNumberFormat="0" applyBorder="0" applyAlignment="0" applyProtection="0"/>
    <xf numFmtId="0" fontId="71" fillId="0" borderId="12" applyNumberFormat="0" applyFill="0" applyAlignment="0" applyProtection="0"/>
    <xf numFmtId="0" fontId="72" fillId="0" borderId="13" applyNumberFormat="0" applyFill="0" applyAlignment="0" applyProtection="0"/>
    <xf numFmtId="0" fontId="73" fillId="0" borderId="14" applyNumberFormat="0" applyFill="0" applyAlignment="0" applyProtection="0"/>
    <xf numFmtId="0" fontId="73" fillId="0" borderId="0" applyNumberFormat="0" applyFill="0" applyBorder="0" applyAlignment="0" applyProtection="0"/>
    <xf numFmtId="0" fontId="74" fillId="39" borderId="10" applyNumberFormat="0" applyAlignment="0" applyProtection="0"/>
    <xf numFmtId="0" fontId="75" fillId="0" borderId="15" applyNumberFormat="0" applyFill="0" applyAlignment="0" applyProtection="0"/>
    <xf numFmtId="0" fontId="76" fillId="54" borderId="0" applyNumberFormat="0" applyBorder="0" applyAlignment="0" applyProtection="0"/>
    <xf numFmtId="0" fontId="20" fillId="0" borderId="0"/>
    <xf numFmtId="0" fontId="19" fillId="0" borderId="0"/>
    <xf numFmtId="0" fontId="19" fillId="0" borderId="0"/>
    <xf numFmtId="0" fontId="19" fillId="0" borderId="0"/>
    <xf numFmtId="0" fontId="20" fillId="0" borderId="0"/>
    <xf numFmtId="0" fontId="20" fillId="0" borderId="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77" fillId="52" borderId="17" applyNumberFormat="0" applyAlignment="0" applyProtection="0"/>
    <xf numFmtId="0" fontId="41" fillId="0" borderId="0" applyNumberFormat="0" applyFont="0" applyFill="0" applyBorder="0" applyAlignment="0" applyProtection="0">
      <alignment horizontal="left" vertical="top" wrapText="1"/>
      <protection locked="0"/>
    </xf>
    <xf numFmtId="0" fontId="41" fillId="0" borderId="0" applyNumberFormat="0" applyFont="0" applyFill="0" applyBorder="0" applyAlignment="0" applyProtection="0">
      <alignment horizontal="left" vertical="top" wrapText="1"/>
      <protection locked="0"/>
    </xf>
    <xf numFmtId="0" fontId="19" fillId="0" borderId="0"/>
    <xf numFmtId="0" fontId="63" fillId="0" borderId="18" applyNumberFormat="0" applyFill="0" applyAlignment="0" applyProtection="0"/>
    <xf numFmtId="0" fontId="78" fillId="0" borderId="0" applyNumberFormat="0" applyFill="0" applyBorder="0" applyAlignment="0" applyProtection="0"/>
    <xf numFmtId="0" fontId="19" fillId="0" borderId="0"/>
    <xf numFmtId="0" fontId="22" fillId="34" borderId="0" applyNumberFormat="0" applyBorder="0" applyAlignment="0" applyProtection="0"/>
    <xf numFmtId="0" fontId="22" fillId="34" borderId="0" applyNumberFormat="0" applyBorder="0" applyAlignment="0" applyProtection="0"/>
    <xf numFmtId="0" fontId="19" fillId="0" borderId="0"/>
    <xf numFmtId="0" fontId="19" fillId="0" borderId="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4" fillId="0" borderId="0" applyFont="0" applyFill="0" applyBorder="0" applyAlignment="0" applyProtection="0">
      <alignment vertical="top"/>
    </xf>
    <xf numFmtId="43" fontId="64" fillId="0" borderId="0" applyFont="0" applyFill="0" applyBorder="0" applyAlignment="0" applyProtection="0">
      <alignment vertical="top"/>
    </xf>
    <xf numFmtId="43" fontId="64" fillId="0" borderId="0" applyFont="0" applyFill="0" applyBorder="0" applyAlignment="0" applyProtection="0">
      <alignment vertical="top"/>
    </xf>
    <xf numFmtId="43" fontId="64" fillId="0" borderId="0" applyFont="0" applyFill="0" applyBorder="0" applyAlignment="0" applyProtection="0">
      <alignment vertical="top"/>
    </xf>
    <xf numFmtId="43" fontId="64" fillId="0" borderId="0" applyFont="0" applyFill="0" applyBorder="0" applyAlignment="0" applyProtection="0">
      <alignment vertical="top"/>
    </xf>
    <xf numFmtId="43" fontId="64" fillId="0" borderId="0" applyFont="0" applyFill="0" applyBorder="0" applyAlignment="0" applyProtection="0">
      <alignment vertical="top"/>
    </xf>
    <xf numFmtId="43" fontId="64" fillId="0" borderId="0" applyFont="0" applyFill="0" applyBorder="0" applyAlignment="0" applyProtection="0">
      <alignment vertical="top"/>
    </xf>
    <xf numFmtId="43" fontId="64" fillId="0" borderId="0" applyFont="0" applyFill="0" applyBorder="0" applyAlignment="0" applyProtection="0">
      <alignment vertical="top"/>
    </xf>
    <xf numFmtId="43" fontId="64" fillId="0" borderId="0" applyFont="0" applyFill="0" applyBorder="0" applyAlignment="0" applyProtection="0">
      <alignment vertical="top"/>
    </xf>
    <xf numFmtId="43" fontId="64" fillId="0" borderId="0" applyFont="0" applyFill="0" applyBorder="0" applyAlignment="0" applyProtection="0">
      <alignment vertical="top"/>
    </xf>
    <xf numFmtId="43" fontId="64" fillId="0" borderId="0" applyFont="0" applyFill="0" applyBorder="0" applyAlignment="0" applyProtection="0">
      <alignment vertical="top"/>
    </xf>
    <xf numFmtId="43" fontId="64" fillId="0" borderId="0" applyFont="0" applyFill="0" applyBorder="0" applyAlignment="0" applyProtection="0">
      <alignment vertical="top"/>
    </xf>
    <xf numFmtId="43" fontId="64" fillId="0" borderId="0" applyFon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64" fillId="0" borderId="0">
      <alignment vertical="top"/>
    </xf>
    <xf numFmtId="0" fontId="64" fillId="0" borderId="0">
      <alignment vertical="top"/>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19" fillId="0" borderId="0"/>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1" fillId="0" borderId="0"/>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39" fillId="0" borderId="0"/>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22"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55" borderId="16" applyNumberFormat="0" applyFont="0" applyAlignment="0" applyProtection="0"/>
    <xf numFmtId="0" fontId="19" fillId="0" borderId="0"/>
    <xf numFmtId="0" fontId="36" fillId="0" borderId="0" applyNumberFormat="0" applyFill="0" applyBorder="0" applyAlignment="0" applyProtection="0"/>
    <xf numFmtId="0" fontId="19" fillId="0" borderId="0"/>
    <xf numFmtId="0" fontId="19" fillId="0" borderId="0"/>
    <xf numFmtId="0" fontId="19" fillId="0" borderId="0"/>
    <xf numFmtId="0" fontId="36" fillId="0" borderId="0" applyNumberFormat="0" applyFill="0" applyBorder="0" applyAlignment="0" applyProtection="0"/>
    <xf numFmtId="0" fontId="32" fillId="39" borderId="10" applyNumberFormat="0" applyAlignment="0" applyProtection="0"/>
    <xf numFmtId="44" fontId="1" fillId="0" borderId="0" applyFont="0" applyFill="0" applyBorder="0" applyAlignment="0" applyProtection="0"/>
    <xf numFmtId="43" fontId="1" fillId="0" borderId="0" applyFont="0" applyFill="0" applyBorder="0" applyAlignment="0" applyProtection="0"/>
    <xf numFmtId="0" fontId="32" fillId="39" borderId="10" applyNumberFormat="0" applyAlignment="0" applyProtection="0"/>
    <xf numFmtId="0" fontId="19" fillId="0" borderId="0"/>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20" fillId="0" borderId="0"/>
    <xf numFmtId="0" fontId="1" fillId="0" borderId="0"/>
    <xf numFmtId="0" fontId="64" fillId="0" borderId="0"/>
    <xf numFmtId="0" fontId="64" fillId="0" borderId="0"/>
    <xf numFmtId="169" fontId="80" fillId="0" borderId="0"/>
    <xf numFmtId="169" fontId="82" fillId="59" borderId="26" applyFont="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11" fillId="0" borderId="0"/>
    <xf numFmtId="0" fontId="1" fillId="30" borderId="0" applyNumberFormat="0" applyBorder="0" applyAlignment="0" applyProtection="0"/>
    <xf numFmtId="167"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9" fillId="0" borderId="0" applyNumberFormat="0" applyFill="0" applyBorder="0" applyAlignment="0" applyProtection="0"/>
    <xf numFmtId="188" fontId="39" fillId="0" borderId="0" applyNumberFormat="0" applyFill="0" applyBorder="0" applyAlignment="0" applyProtection="0"/>
    <xf numFmtId="0" fontId="83" fillId="52" borderId="19" applyNumberFormat="0" applyFont="0" applyBorder="0" applyAlignment="0" applyProtection="0">
      <protection hidden="1"/>
    </xf>
    <xf numFmtId="0" fontId="49" fillId="52" borderId="19" applyNumberFormat="0" applyFont="0" applyBorder="0" applyAlignment="0" applyProtection="0">
      <protection hidden="1"/>
    </xf>
    <xf numFmtId="0" fontId="83" fillId="52" borderId="19" applyNumberFormat="0" applyFont="0" applyBorder="0" applyAlignment="0" applyProtection="0">
      <protection hidden="1"/>
    </xf>
    <xf numFmtId="0" fontId="48" fillId="0" borderId="19">
      <protection hidden="1"/>
    </xf>
    <xf numFmtId="189" fontId="84" fillId="0" borderId="0">
      <protection locked="0"/>
    </xf>
    <xf numFmtId="196" fontId="19" fillId="0" borderId="0"/>
    <xf numFmtId="0" fontId="25" fillId="52" borderId="10" applyNumberFormat="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3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95" fillId="0" borderId="0" applyFont="0" applyFill="0" applyBorder="0" applyAlignment="0" applyProtection="0"/>
    <xf numFmtId="3" fontId="19" fillId="0" borderId="0" applyFill="0" applyBorder="0" applyAlignment="0" applyProtection="0"/>
    <xf numFmtId="44" fontId="85" fillId="0" borderId="0" applyFont="0" applyFill="0" applyBorder="0" applyAlignment="0" applyProtection="0"/>
    <xf numFmtId="44" fontId="62" fillId="0" borderId="0" applyFont="0" applyFill="0" applyBorder="0" applyAlignment="0" applyProtection="0"/>
    <xf numFmtId="0" fontId="64" fillId="0" borderId="0"/>
    <xf numFmtId="44" fontId="62" fillId="0" borderId="0" applyFont="0" applyFill="0" applyBorder="0" applyAlignment="0" applyProtection="0"/>
    <xf numFmtId="166" fontId="1" fillId="0" borderId="0" applyFont="0" applyFill="0" applyBorder="0" applyAlignment="0" applyProtection="0"/>
    <xf numFmtId="5" fontId="19" fillId="0" borderId="0" applyFill="0" applyBorder="0" applyAlignment="0" applyProtection="0"/>
    <xf numFmtId="0" fontId="59" fillId="0" borderId="20"/>
    <xf numFmtId="190" fontId="19" fillId="0" borderId="0" applyFill="0" applyBorder="0" applyAlignment="0" applyProtection="0"/>
    <xf numFmtId="191" fontId="59" fillId="0" borderId="0"/>
    <xf numFmtId="0" fontId="64" fillId="0" borderId="0"/>
    <xf numFmtId="0" fontId="41" fillId="33" borderId="21"/>
    <xf numFmtId="0" fontId="41" fillId="57" borderId="21"/>
    <xf numFmtId="2" fontId="19" fillId="0" borderId="0" applyFill="0" applyBorder="0" applyAlignment="0" applyProtection="0"/>
    <xf numFmtId="0" fontId="29" fillId="0" borderId="12" applyNumberFormat="0" applyFill="0" applyAlignment="0" applyProtection="0"/>
    <xf numFmtId="0" fontId="86" fillId="0" borderId="0" applyNumberFormat="0" applyFill="0" applyBorder="0" applyAlignment="0" applyProtection="0"/>
    <xf numFmtId="0" fontId="29" fillId="0" borderId="12" applyNumberFormat="0" applyFill="0" applyAlignment="0" applyProtection="0"/>
    <xf numFmtId="0" fontId="30" fillId="0" borderId="13" applyNumberFormat="0" applyFill="0" applyAlignment="0" applyProtection="0"/>
    <xf numFmtId="0" fontId="81" fillId="0" borderId="0" applyNumberFormat="0" applyFill="0" applyBorder="0" applyAlignment="0" applyProtection="0"/>
    <xf numFmtId="0" fontId="30" fillId="0" borderId="13" applyNumberFormat="0" applyFill="0" applyAlignment="0" applyProtection="0"/>
    <xf numFmtId="0" fontId="64" fillId="0" borderId="0"/>
    <xf numFmtId="0" fontId="64" fillId="0" borderId="0"/>
    <xf numFmtId="0" fontId="87" fillId="0" borderId="0" applyNumberFormat="0" applyFill="0" applyBorder="0" applyAlignment="0" applyProtection="0">
      <alignment vertical="top"/>
      <protection locked="0"/>
    </xf>
    <xf numFmtId="0" fontId="96" fillId="0" borderId="0" applyNumberFormat="0" applyFill="0" applyBorder="0" applyAlignment="0" applyProtection="0"/>
    <xf numFmtId="188" fontId="97" fillId="0" borderId="0" applyNumberFormat="0" applyFill="0" applyBorder="0" applyAlignment="0" applyProtection="0">
      <alignment vertical="top"/>
      <protection locked="0"/>
    </xf>
    <xf numFmtId="0" fontId="64" fillId="0" borderId="0"/>
    <xf numFmtId="10" fontId="41" fillId="59" borderId="22" applyNumberFormat="0" applyBorder="0" applyAlignment="0" applyProtection="0"/>
    <xf numFmtId="0" fontId="32" fillId="39" borderId="10" applyNumberFormat="0" applyAlignment="0" applyProtection="0"/>
    <xf numFmtId="0" fontId="64" fillId="0" borderId="0"/>
    <xf numFmtId="0" fontId="32" fillId="39" borderId="10" applyNumberFormat="0" applyAlignment="0" applyProtection="0"/>
    <xf numFmtId="0" fontId="32" fillId="39" borderId="10" applyNumberFormat="0" applyAlignment="0" applyProtection="0"/>
    <xf numFmtId="0" fontId="32" fillId="39" borderId="10" applyNumberFormat="0" applyAlignment="0" applyProtection="0"/>
    <xf numFmtId="0" fontId="64" fillId="0" borderId="0"/>
    <xf numFmtId="0" fontId="32" fillId="39" borderId="10" applyNumberFormat="0" applyAlignment="0" applyProtection="0"/>
    <xf numFmtId="0" fontId="32" fillId="39" borderId="10" applyNumberFormat="0" applyAlignment="0" applyProtection="0"/>
    <xf numFmtId="0" fontId="64" fillId="0" borderId="0"/>
    <xf numFmtId="0" fontId="32" fillId="39" borderId="10" applyNumberFormat="0" applyAlignment="0" applyProtection="0"/>
    <xf numFmtId="0" fontId="32" fillId="39" borderId="10" applyNumberFormat="0" applyAlignment="0" applyProtection="0"/>
    <xf numFmtId="0" fontId="32" fillId="39" borderId="10" applyNumberFormat="0" applyAlignment="0" applyProtection="0"/>
    <xf numFmtId="0" fontId="32" fillId="39" borderId="10" applyNumberFormat="0" applyAlignment="0" applyProtection="0"/>
    <xf numFmtId="0" fontId="32" fillId="39" borderId="10" applyNumberFormat="0" applyAlignment="0" applyProtection="0"/>
    <xf numFmtId="0" fontId="64" fillId="0" borderId="0"/>
    <xf numFmtId="0" fontId="32" fillId="39" borderId="10" applyNumberFormat="0" applyAlignment="0" applyProtection="0"/>
    <xf numFmtId="192" fontId="88" fillId="0" borderId="0">
      <protection locked="0"/>
    </xf>
    <xf numFmtId="0" fontId="60" fillId="60" borderId="20"/>
    <xf numFmtId="41" fontId="39" fillId="0" borderId="0" applyFont="0" applyFill="0" applyBorder="0" applyAlignment="0" applyProtection="0"/>
    <xf numFmtId="43" fontId="39" fillId="0" borderId="0" applyFont="0" applyFill="0" applyBorder="0" applyAlignment="0" applyProtection="0"/>
    <xf numFmtId="42" fontId="39" fillId="0" borderId="0" applyFont="0" applyFill="0" applyBorder="0" applyAlignment="0" applyProtection="0"/>
    <xf numFmtId="44" fontId="39" fillId="0" borderId="0" applyFont="0" applyFill="0" applyBorder="0" applyAlignment="0" applyProtection="0"/>
    <xf numFmtId="0" fontId="52" fillId="0" borderId="0"/>
    <xf numFmtId="169" fontId="80" fillId="0" borderId="0"/>
    <xf numFmtId="0" fontId="62" fillId="0" borderId="0"/>
    <xf numFmtId="0" fontId="1" fillId="0" borderId="0"/>
    <xf numFmtId="0" fontId="20" fillId="0" borderId="0"/>
    <xf numFmtId="0" fontId="39" fillId="0" borderId="0"/>
    <xf numFmtId="0" fontId="19" fillId="0" borderId="0"/>
    <xf numFmtId="0" fontId="20" fillId="0" borderId="0"/>
    <xf numFmtId="0" fontId="39" fillId="0" borderId="0"/>
    <xf numFmtId="0" fontId="1" fillId="0" borderId="0"/>
    <xf numFmtId="0" fontId="39" fillId="0" borderId="0"/>
    <xf numFmtId="191" fontId="45" fillId="0" borderId="0"/>
    <xf numFmtId="0" fontId="39" fillId="0" borderId="0"/>
    <xf numFmtId="188" fontId="39" fillId="0" borderId="0" applyNumberFormat="0" applyFill="0" applyBorder="0" applyAlignment="0" applyProtection="0"/>
    <xf numFmtId="0" fontId="95" fillId="0" borderId="0"/>
    <xf numFmtId="0" fontId="39" fillId="0" borderId="0"/>
    <xf numFmtId="0" fontId="95" fillId="0" borderId="0"/>
    <xf numFmtId="188" fontId="1" fillId="0" borderId="0"/>
    <xf numFmtId="0" fontId="64"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169" fontId="80" fillId="0" borderId="0"/>
    <xf numFmtId="0" fontId="62" fillId="0" borderId="0"/>
    <xf numFmtId="169" fontId="80" fillId="0" borderId="0"/>
    <xf numFmtId="0" fontId="19" fillId="0" borderId="0"/>
    <xf numFmtId="0" fontId="62" fillId="0" borderId="0"/>
    <xf numFmtId="0" fontId="62" fillId="0" borderId="0"/>
    <xf numFmtId="0" fontId="19" fillId="0" borderId="0"/>
    <xf numFmtId="37" fontId="59" fillId="0" borderId="0"/>
    <xf numFmtId="0" fontId="19" fillId="0" borderId="0"/>
    <xf numFmtId="0" fontId="19" fillId="0" borderId="0"/>
    <xf numFmtId="191" fontId="45" fillId="0" borderId="0"/>
    <xf numFmtId="0" fontId="39" fillId="0" borderId="0"/>
    <xf numFmtId="0" fontId="1" fillId="0" borderId="0"/>
    <xf numFmtId="0" fontId="19" fillId="0" borderId="0"/>
    <xf numFmtId="0" fontId="1" fillId="0" borderId="0"/>
    <xf numFmtId="0" fontId="19" fillId="0" borderId="0"/>
    <xf numFmtId="0" fontId="1" fillId="0" borderId="0"/>
    <xf numFmtId="0" fontId="19" fillId="0" borderId="0"/>
    <xf numFmtId="0" fontId="39" fillId="0" borderId="0"/>
    <xf numFmtId="0" fontId="19" fillId="0" borderId="0"/>
    <xf numFmtId="0" fontId="39" fillId="0" borderId="0"/>
    <xf numFmtId="0" fontId="19" fillId="0" borderId="0"/>
    <xf numFmtId="0" fontId="19" fillId="0" borderId="0"/>
    <xf numFmtId="0" fontId="1" fillId="0" borderId="0"/>
    <xf numFmtId="169" fontId="80" fillId="0" borderId="0"/>
    <xf numFmtId="0" fontId="62" fillId="0" borderId="0"/>
    <xf numFmtId="169" fontId="80" fillId="0" borderId="0"/>
    <xf numFmtId="0" fontId="20" fillId="0" borderId="0"/>
    <xf numFmtId="0" fontId="19" fillId="0" borderId="0"/>
    <xf numFmtId="0" fontId="6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6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4" fillId="0" borderId="0"/>
    <xf numFmtId="0" fontId="19" fillId="0" borderId="0"/>
    <xf numFmtId="0" fontId="19" fillId="0" borderId="0"/>
    <xf numFmtId="0" fontId="95" fillId="0" borderId="0"/>
    <xf numFmtId="0" fontId="1" fillId="0" borderId="0"/>
    <xf numFmtId="169" fontId="80" fillId="0" borderId="0"/>
    <xf numFmtId="0" fontId="19" fillId="0" borderId="0"/>
    <xf numFmtId="0" fontId="62" fillId="0" borderId="0"/>
    <xf numFmtId="0" fontId="1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64"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62" fillId="0" borderId="0"/>
    <xf numFmtId="0" fontId="1" fillId="0" borderId="0"/>
    <xf numFmtId="0" fontId="1" fillId="0" borderId="0"/>
    <xf numFmtId="0" fontId="1" fillId="0" borderId="0"/>
    <xf numFmtId="169" fontId="80" fillId="0" borderId="0"/>
    <xf numFmtId="169" fontId="80" fillId="0" borderId="0"/>
    <xf numFmtId="0" fontId="95" fillId="0" borderId="0"/>
    <xf numFmtId="0" fontId="19" fillId="0" borderId="0"/>
    <xf numFmtId="0" fontId="98" fillId="0" borderId="0"/>
    <xf numFmtId="0" fontId="98" fillId="0" borderId="0"/>
    <xf numFmtId="0" fontId="98" fillId="0" borderId="0"/>
    <xf numFmtId="0" fontId="98" fillId="0" borderId="0"/>
    <xf numFmtId="0" fontId="19" fillId="0" borderId="0"/>
    <xf numFmtId="0" fontId="62" fillId="0" borderId="0"/>
    <xf numFmtId="0" fontId="3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91" fontId="89" fillId="0" borderId="0"/>
    <xf numFmtId="0" fontId="80" fillId="55" borderId="16" applyNumberFormat="0" applyFont="0" applyAlignment="0" applyProtection="0"/>
    <xf numFmtId="0" fontId="22" fillId="55" borderId="16" applyNumberFormat="0" applyFont="0" applyAlignment="0" applyProtection="0"/>
    <xf numFmtId="0" fontId="20" fillId="55" borderId="16" applyNumberFormat="0" applyFont="0" applyAlignment="0" applyProtection="0"/>
    <xf numFmtId="0" fontId="39" fillId="55" borderId="1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52" borderId="17" applyNumberFormat="0" applyAlignment="0" applyProtection="0"/>
    <xf numFmtId="9" fontId="19" fillId="0" borderId="0" applyFont="0" applyFill="0" applyBorder="0" applyAlignment="0" applyProtection="0"/>
    <xf numFmtId="0" fontId="64" fillId="0" borderId="0"/>
    <xf numFmtId="10" fontId="19" fillId="0" borderId="0" applyFont="0" applyFill="0" applyBorder="0" applyAlignment="0" applyProtection="0"/>
    <xf numFmtId="9" fontId="9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9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9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9" fillId="0" borderId="0" applyFont="0" applyFill="0" applyBorder="0" applyAlignment="0" applyProtection="0"/>
    <xf numFmtId="9" fontId="90" fillId="0" borderId="0" applyFont="0" applyFill="0" applyBorder="0" applyAlignment="0" applyProtection="0"/>
    <xf numFmtId="9" fontId="39" fillId="0" borderId="0" applyFont="0" applyFill="0" applyBorder="0" applyAlignment="0" applyProtection="0"/>
    <xf numFmtId="9" fontId="90" fillId="0" borderId="0" applyFont="0" applyFill="0" applyBorder="0" applyAlignment="0" applyProtection="0"/>
    <xf numFmtId="180" fontId="39" fillId="0" borderId="0" applyFont="0" applyFill="0" applyBorder="0" applyAlignment="0" applyProtection="0"/>
    <xf numFmtId="0" fontId="59" fillId="0" borderId="0"/>
    <xf numFmtId="0" fontId="59" fillId="0" borderId="20"/>
    <xf numFmtId="193" fontId="91" fillId="0" borderId="0">
      <alignment horizontal="right"/>
      <protection locked="0"/>
    </xf>
    <xf numFmtId="0" fontId="19" fillId="0" borderId="0" applyNumberFormat="0"/>
    <xf numFmtId="0" fontId="37" fillId="0" borderId="18" applyNumberFormat="0" applyFill="0" applyAlignment="0" applyProtection="0"/>
    <xf numFmtId="0" fontId="19" fillId="0" borderId="27" applyNumberFormat="0" applyFill="0" applyAlignment="0" applyProtection="0"/>
    <xf numFmtId="0" fontId="37" fillId="0" borderId="18" applyNumberFormat="0" applyFill="0" applyAlignment="0" applyProtection="0"/>
    <xf numFmtId="0" fontId="60" fillId="0" borderId="20"/>
    <xf numFmtId="169" fontId="80" fillId="0" borderId="0"/>
    <xf numFmtId="0" fontId="64" fillId="0" borderId="0"/>
    <xf numFmtId="0" fontId="64" fillId="0" borderId="0"/>
    <xf numFmtId="0" fontId="64" fillId="0" borderId="0"/>
    <xf numFmtId="0" fontId="64" fillId="0" borderId="0"/>
    <xf numFmtId="0" fontId="92" fillId="0" borderId="0" applyProtection="0"/>
    <xf numFmtId="194" fontId="92" fillId="0" borderId="0" applyProtection="0"/>
    <xf numFmtId="0" fontId="93" fillId="0" borderId="0" applyProtection="0"/>
    <xf numFmtId="0" fontId="94" fillId="0" borderId="0" applyProtection="0"/>
    <xf numFmtId="0" fontId="92" fillId="0" borderId="28" applyProtection="0"/>
    <xf numFmtId="0" fontId="92" fillId="0" borderId="0"/>
    <xf numFmtId="10" fontId="92" fillId="0" borderId="0" applyProtection="0"/>
    <xf numFmtId="0" fontId="92" fillId="0" borderId="0"/>
    <xf numFmtId="2" fontId="92" fillId="0" borderId="0" applyProtection="0"/>
    <xf numFmtId="4" fontId="92" fillId="0" borderId="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0" fontId="20" fillId="0" borderId="0"/>
    <xf numFmtId="169" fontId="20" fillId="0" borderId="0"/>
    <xf numFmtId="0" fontId="1" fillId="0" borderId="0"/>
    <xf numFmtId="0" fontId="96" fillId="0" borderId="0" applyNumberFormat="0" applyFill="0" applyBorder="0" applyAlignment="0" applyProtection="0"/>
    <xf numFmtId="0" fontId="128" fillId="0" borderId="0" applyNumberForma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cellStyleXfs>
  <cellXfs count="608">
    <xf numFmtId="0" fontId="0" fillId="0" borderId="0" xfId="0"/>
    <xf numFmtId="0" fontId="18" fillId="0" borderId="0" xfId="0" applyFont="1"/>
    <xf numFmtId="3" fontId="18" fillId="0" borderId="0" xfId="0" applyNumberFormat="1" applyFont="1"/>
    <xf numFmtId="168" fontId="18" fillId="0" borderId="0" xfId="1" applyNumberFormat="1" applyFont="1"/>
    <xf numFmtId="169" fontId="18" fillId="0" borderId="0" xfId="0" applyNumberFormat="1" applyFont="1"/>
    <xf numFmtId="0" fontId="79" fillId="0" borderId="0" xfId="0" applyFont="1" applyAlignment="1">
      <alignment horizontal="center"/>
    </xf>
    <xf numFmtId="0" fontId="18" fillId="0" borderId="24" xfId="0" applyFont="1" applyBorder="1"/>
    <xf numFmtId="0" fontId="124" fillId="0" borderId="0" xfId="0" applyFont="1" applyFill="1" applyBorder="1" applyAlignment="1">
      <alignment vertical="center"/>
    </xf>
    <xf numFmtId="15" fontId="124" fillId="0" borderId="0" xfId="3638" applyNumberFormat="1" applyFont="1" applyFill="1" applyBorder="1" applyAlignment="1">
      <alignment horizontal="right" wrapText="1"/>
    </xf>
    <xf numFmtId="49" fontId="124" fillId="0" borderId="19" xfId="0" applyNumberFormat="1" applyFont="1" applyFill="1" applyBorder="1"/>
    <xf numFmtId="49" fontId="124" fillId="0" borderId="19" xfId="200" applyNumberFormat="1" applyFont="1" applyFill="1" applyBorder="1" applyAlignment="1">
      <alignment vertical="center"/>
    </xf>
    <xf numFmtId="49" fontId="124" fillId="0" borderId="19" xfId="3521" applyNumberFormat="1" applyFont="1" applyFill="1" applyBorder="1" applyAlignment="1">
      <alignment wrapText="1"/>
    </xf>
    <xf numFmtId="4" fontId="0" fillId="0" borderId="0" xfId="0" applyNumberFormat="1" applyAlignment="1">
      <alignment horizontal="left"/>
    </xf>
    <xf numFmtId="43" fontId="121" fillId="0" borderId="0" xfId="0" applyNumberFormat="1" applyFont="1"/>
    <xf numFmtId="15" fontId="124" fillId="0" borderId="0" xfId="3504" applyNumberFormat="1" applyFont="1" applyFill="1" applyBorder="1" applyAlignment="1">
      <alignment horizontal="right" wrapText="1"/>
    </xf>
    <xf numFmtId="2" fontId="20" fillId="0" borderId="32" xfId="0" applyNumberFormat="1" applyFont="1" applyBorder="1"/>
    <xf numFmtId="0" fontId="124" fillId="0" borderId="0" xfId="200" applyFont="1" applyFill="1" applyBorder="1" applyAlignment="1">
      <alignment vertical="center"/>
    </xf>
    <xf numFmtId="43" fontId="120" fillId="0" borderId="0" xfId="0" applyNumberFormat="1" applyFont="1"/>
    <xf numFmtId="196" fontId="81" fillId="63" borderId="47" xfId="3480" applyNumberFormat="1" applyFont="1" applyFill="1" applyBorder="1" applyAlignment="1">
      <alignment horizontal="left" vertical="center"/>
    </xf>
    <xf numFmtId="0" fontId="0" fillId="65" borderId="47" xfId="0" applyFill="1" applyBorder="1" applyAlignment="1">
      <alignment wrapText="1"/>
    </xf>
    <xf numFmtId="49" fontId="124" fillId="0" borderId="19" xfId="0" applyNumberFormat="1" applyFont="1" applyFill="1" applyBorder="1" applyAlignment="1">
      <alignment vertical="center"/>
    </xf>
    <xf numFmtId="167" fontId="124" fillId="0" borderId="0" xfId="339" applyNumberFormat="1" applyFont="1" applyFill="1" applyBorder="1" applyAlignment="1">
      <alignment vertical="center"/>
    </xf>
    <xf numFmtId="0" fontId="0" fillId="65" borderId="0" xfId="0" applyFill="1"/>
    <xf numFmtId="2" fontId="105" fillId="0" borderId="191" xfId="0" applyNumberFormat="1" applyFont="1" applyFill="1" applyBorder="1" applyAlignment="1"/>
    <xf numFmtId="169" fontId="113" fillId="72" borderId="194" xfId="3841" applyFont="1" applyFill="1" applyBorder="1"/>
    <xf numFmtId="0" fontId="123" fillId="74" borderId="0" xfId="0" applyFont="1" applyFill="1" applyAlignment="1">
      <alignment horizontal="center"/>
    </xf>
    <xf numFmtId="4" fontId="105" fillId="0" borderId="192" xfId="0" applyNumberFormat="1" applyFont="1" applyFill="1" applyBorder="1" applyAlignment="1"/>
    <xf numFmtId="187" fontId="62" fillId="65" borderId="0" xfId="3841" applyNumberFormat="1" applyFont="1" applyFill="1" applyBorder="1" applyAlignment="1">
      <alignment horizontal="right"/>
    </xf>
    <xf numFmtId="43" fontId="0" fillId="0" borderId="0" xfId="0" applyNumberFormat="1"/>
    <xf numFmtId="0" fontId="16" fillId="65" borderId="0" xfId="0" applyFont="1" applyFill="1" applyAlignment="1">
      <alignment horizontal="center" wrapText="1"/>
    </xf>
    <xf numFmtId="4" fontId="105" fillId="0" borderId="193" xfId="0" applyNumberFormat="1" applyFont="1" applyFill="1" applyBorder="1" applyAlignment="1"/>
    <xf numFmtId="187" fontId="62" fillId="65" borderId="32" xfId="3841" applyNumberFormat="1" applyFont="1" applyFill="1" applyBorder="1"/>
    <xf numFmtId="2" fontId="119" fillId="0" borderId="0" xfId="1" applyNumberFormat="1" applyFont="1"/>
    <xf numFmtId="0" fontId="0" fillId="65" borderId="117" xfId="0" applyFill="1" applyBorder="1"/>
    <xf numFmtId="4" fontId="106" fillId="0" borderId="193" xfId="0" applyNumberFormat="1" applyFont="1" applyFill="1" applyBorder="1" applyAlignment="1"/>
    <xf numFmtId="169" fontId="62" fillId="65" borderId="0" xfId="3841" applyFont="1" applyFill="1" applyBorder="1" applyAlignment="1">
      <alignment horizontal="right" wrapText="1"/>
    </xf>
    <xf numFmtId="0" fontId="121" fillId="65" borderId="0" xfId="0" applyFont="1" applyFill="1"/>
    <xf numFmtId="0" fontId="0" fillId="65" borderId="0" xfId="0" applyFill="1" applyBorder="1"/>
    <xf numFmtId="0" fontId="0" fillId="0" borderId="192" xfId="0" applyBorder="1"/>
    <xf numFmtId="0" fontId="120" fillId="65" borderId="201" xfId="0" applyFont="1" applyFill="1" applyBorder="1"/>
    <xf numFmtId="0" fontId="121" fillId="0" borderId="0" xfId="0" applyFont="1"/>
    <xf numFmtId="4" fontId="0" fillId="0" borderId="0" xfId="0" applyNumberFormat="1"/>
    <xf numFmtId="0" fontId="120" fillId="65" borderId="122" xfId="0" applyFont="1" applyFill="1" applyBorder="1"/>
    <xf numFmtId="4" fontId="0" fillId="0" borderId="0" xfId="0" applyNumberFormat="1" applyFill="1" applyBorder="1"/>
    <xf numFmtId="4" fontId="0" fillId="0" borderId="40" xfId="0" applyNumberFormat="1" applyFill="1" applyBorder="1"/>
    <xf numFmtId="2" fontId="105" fillId="0" borderId="192" xfId="0" applyNumberFormat="1" applyFont="1" applyFill="1" applyBorder="1" applyAlignment="1"/>
    <xf numFmtId="2" fontId="106" fillId="0" borderId="193" xfId="0" applyNumberFormat="1" applyFont="1" applyFill="1" applyBorder="1" applyAlignment="1"/>
    <xf numFmtId="2" fontId="106" fillId="0" borderId="192" xfId="0" applyNumberFormat="1" applyFont="1" applyFill="1" applyBorder="1" applyAlignment="1"/>
    <xf numFmtId="0" fontId="0" fillId="0" borderId="191" xfId="0" applyBorder="1"/>
    <xf numFmtId="0" fontId="0" fillId="0" borderId="193" xfId="0" applyBorder="1"/>
    <xf numFmtId="0" fontId="1" fillId="0" borderId="0" xfId="3842"/>
    <xf numFmtId="169" fontId="113" fillId="72" borderId="195" xfId="3841" applyFont="1" applyFill="1" applyBorder="1" applyAlignment="1">
      <alignment horizontal="right"/>
    </xf>
    <xf numFmtId="187" fontId="62" fillId="65" borderId="31" xfId="3841" applyNumberFormat="1" applyFont="1" applyFill="1" applyBorder="1"/>
    <xf numFmtId="187" fontId="116" fillId="65" borderId="31" xfId="3841" applyNumberFormat="1" applyFont="1" applyFill="1" applyBorder="1"/>
    <xf numFmtId="169" fontId="118" fillId="65" borderId="31" xfId="3841" applyFont="1" applyFill="1" applyBorder="1"/>
    <xf numFmtId="2" fontId="0" fillId="0" borderId="0" xfId="1" applyNumberFormat="1" applyFont="1"/>
    <xf numFmtId="2" fontId="0" fillId="0" borderId="0" xfId="1" applyNumberFormat="1" applyFont="1" applyFill="1"/>
    <xf numFmtId="0" fontId="120" fillId="65" borderId="0" xfId="0" applyFont="1" applyFill="1"/>
    <xf numFmtId="187" fontId="121" fillId="65" borderId="0" xfId="0" applyNumberFormat="1" applyFont="1" applyFill="1"/>
    <xf numFmtId="195" fontId="120" fillId="65" borderId="202" xfId="0" applyNumberFormat="1" applyFont="1" applyFill="1" applyBorder="1"/>
    <xf numFmtId="195" fontId="120" fillId="65" borderId="122" xfId="0" applyNumberFormat="1" applyFont="1" applyFill="1" applyBorder="1"/>
    <xf numFmtId="0" fontId="16" fillId="65" borderId="0" xfId="0" applyFont="1" applyFill="1"/>
    <xf numFmtId="0" fontId="16" fillId="65" borderId="0" xfId="0" applyFont="1" applyFill="1" applyAlignment="1">
      <alignment horizontal="center" vertical="center"/>
    </xf>
    <xf numFmtId="187" fontId="0" fillId="65" borderId="0" xfId="0" applyNumberFormat="1" applyFill="1"/>
    <xf numFmtId="187" fontId="0" fillId="65" borderId="122" xfId="0" applyNumberFormat="1" applyFill="1" applyBorder="1"/>
    <xf numFmtId="0" fontId="120" fillId="0" borderId="0" xfId="0" applyFont="1"/>
    <xf numFmtId="0" fontId="120" fillId="0" borderId="0" xfId="0" applyFont="1" applyAlignment="1">
      <alignment horizontal="center"/>
    </xf>
    <xf numFmtId="0" fontId="120" fillId="0" borderId="0" xfId="0" applyFont="1" applyAlignment="1">
      <alignment horizontal="center" wrapText="1"/>
    </xf>
    <xf numFmtId="43" fontId="121" fillId="0" borderId="0" xfId="1" applyFont="1"/>
    <xf numFmtId="0" fontId="121" fillId="0" borderId="0" xfId="0" applyFont="1" applyFill="1"/>
    <xf numFmtId="196" fontId="81" fillId="63" borderId="167" xfId="3480" applyFont="1" applyFill="1" applyBorder="1" applyAlignment="1">
      <alignment horizontal="center" vertical="center"/>
    </xf>
    <xf numFmtId="196" fontId="81" fillId="63" borderId="31" xfId="3480" applyFont="1" applyFill="1" applyBorder="1" applyAlignment="1">
      <alignment horizontal="center" vertical="center"/>
    </xf>
    <xf numFmtId="196" fontId="20" fillId="63" borderId="33" xfId="3480" applyNumberFormat="1" applyFont="1" applyFill="1" applyBorder="1" applyAlignment="1">
      <alignment horizontal="right" vertical="center"/>
    </xf>
    <xf numFmtId="49" fontId="124" fillId="0" borderId="0" xfId="3504" applyNumberFormat="1" applyFont="1" applyFill="1" applyBorder="1" applyAlignment="1">
      <alignment wrapText="1"/>
    </xf>
    <xf numFmtId="2" fontId="0" fillId="0" borderId="0" xfId="0" applyNumberFormat="1" applyBorder="1"/>
    <xf numFmtId="49" fontId="124" fillId="0" borderId="100" xfId="3504" applyNumberFormat="1" applyFont="1" applyFill="1" applyBorder="1" applyAlignment="1">
      <alignment wrapText="1"/>
    </xf>
    <xf numFmtId="187" fontId="20" fillId="0" borderId="196" xfId="0" applyNumberFormat="1" applyFont="1" applyBorder="1"/>
    <xf numFmtId="49" fontId="124" fillId="0" borderId="19" xfId="3504" applyNumberFormat="1" applyFont="1" applyFill="1" applyBorder="1" applyAlignment="1">
      <alignment wrapText="1"/>
    </xf>
    <xf numFmtId="187" fontId="20" fillId="0" borderId="32" xfId="0" applyNumberFormat="1" applyFont="1" applyBorder="1"/>
    <xf numFmtId="187" fontId="81" fillId="0" borderId="32" xfId="0" applyNumberFormat="1" applyFont="1" applyBorder="1"/>
    <xf numFmtId="49" fontId="124" fillId="0" borderId="19" xfId="3511" applyNumberFormat="1" applyFont="1" applyFill="1" applyBorder="1" applyAlignment="1">
      <alignment wrapText="1"/>
    </xf>
    <xf numFmtId="49" fontId="124" fillId="0" borderId="19" xfId="3729" applyNumberFormat="1" applyFont="1" applyFill="1" applyBorder="1" applyAlignment="1">
      <alignment wrapText="1"/>
    </xf>
    <xf numFmtId="49" fontId="124" fillId="0" borderId="19" xfId="3730" applyNumberFormat="1" applyFont="1" applyFill="1" applyBorder="1" applyAlignment="1">
      <alignment wrapText="1"/>
    </xf>
    <xf numFmtId="49" fontId="124" fillId="0" borderId="19" xfId="3455" applyNumberFormat="1" applyFont="1" applyFill="1" applyBorder="1" applyAlignment="1">
      <alignment wrapText="1"/>
    </xf>
    <xf numFmtId="49" fontId="124" fillId="0" borderId="19" xfId="3731" applyNumberFormat="1" applyFont="1" applyFill="1" applyBorder="1" applyAlignment="1">
      <alignment wrapText="1"/>
    </xf>
    <xf numFmtId="49" fontId="124" fillId="0" borderId="19" xfId="3732" applyNumberFormat="1" applyFont="1" applyFill="1" applyBorder="1" applyAlignment="1"/>
    <xf numFmtId="49" fontId="124" fillId="0" borderId="19" xfId="3526" applyNumberFormat="1" applyFont="1" applyFill="1" applyBorder="1" applyAlignment="1">
      <alignment wrapText="1"/>
    </xf>
    <xf numFmtId="49" fontId="124" fillId="0" borderId="19" xfId="3732" applyNumberFormat="1" applyFont="1" applyFill="1" applyBorder="1" applyAlignment="1">
      <alignment wrapText="1"/>
    </xf>
    <xf numFmtId="49" fontId="124" fillId="0" borderId="19" xfId="200" applyNumberFormat="1" applyFont="1" applyFill="1" applyBorder="1" applyAlignment="1">
      <alignment horizontal="left"/>
    </xf>
    <xf numFmtId="49" fontId="124" fillId="0" borderId="19" xfId="200" applyNumberFormat="1" applyFont="1" applyFill="1" applyBorder="1"/>
    <xf numFmtId="4" fontId="125" fillId="0" borderId="0" xfId="0" applyNumberFormat="1" applyFont="1" applyAlignment="1">
      <alignment horizontal="left"/>
    </xf>
    <xf numFmtId="49" fontId="124" fillId="0" borderId="19" xfId="3533" applyNumberFormat="1" applyFont="1" applyFill="1" applyBorder="1" applyAlignment="1">
      <alignment wrapText="1"/>
    </xf>
    <xf numFmtId="49" fontId="124" fillId="0" borderId="19" xfId="3536" applyNumberFormat="1" applyFont="1" applyFill="1" applyBorder="1" applyAlignment="1">
      <alignment wrapText="1"/>
    </xf>
    <xf numFmtId="4" fontId="125" fillId="0" borderId="203" xfId="0" applyNumberFormat="1" applyFont="1" applyBorder="1" applyAlignment="1">
      <alignment horizontal="left"/>
    </xf>
    <xf numFmtId="4" fontId="125" fillId="0" borderId="204" xfId="0" applyNumberFormat="1" applyFont="1" applyBorder="1" applyAlignment="1">
      <alignment horizontal="left"/>
    </xf>
    <xf numFmtId="4" fontId="125" fillId="0" borderId="0" xfId="0" applyNumberFormat="1" applyFont="1" applyBorder="1" applyAlignment="1">
      <alignment horizontal="left"/>
    </xf>
    <xf numFmtId="49" fontId="124" fillId="0" borderId="19" xfId="3542" applyNumberFormat="1" applyFont="1" applyFill="1" applyBorder="1" applyAlignment="1">
      <alignment wrapText="1"/>
    </xf>
    <xf numFmtId="187" fontId="81" fillId="63" borderId="120" xfId="3480" applyNumberFormat="1" applyFont="1" applyFill="1" applyBorder="1" applyAlignment="1">
      <alignment horizontal="right" vertical="center"/>
    </xf>
    <xf numFmtId="4" fontId="0" fillId="0" borderId="0" xfId="0" applyNumberFormat="1" applyBorder="1" applyAlignment="1">
      <alignment horizontal="right"/>
    </xf>
    <xf numFmtId="15" fontId="124" fillId="0" borderId="0" xfId="3511" applyNumberFormat="1" applyFont="1" applyFill="1" applyBorder="1" applyAlignment="1">
      <alignment horizontal="right" wrapText="1"/>
    </xf>
    <xf numFmtId="0" fontId="124" fillId="0" borderId="0" xfId="3511" applyFont="1" applyFill="1" applyBorder="1" applyAlignment="1">
      <alignment horizontal="right" wrapText="1"/>
    </xf>
    <xf numFmtId="0" fontId="124" fillId="0" borderId="0" xfId="3511" applyFont="1" applyFill="1" applyBorder="1" applyAlignment="1">
      <alignment horizontal="center" wrapText="1"/>
    </xf>
    <xf numFmtId="164" fontId="124" fillId="0" borderId="0" xfId="3511" applyNumberFormat="1" applyFont="1" applyFill="1" applyBorder="1" applyAlignment="1">
      <alignment horizontal="right" wrapText="1"/>
    </xf>
    <xf numFmtId="0" fontId="124" fillId="0" borderId="0" xfId="0" applyFont="1" applyFill="1" applyBorder="1" applyAlignment="1">
      <alignment horizontal="right" vertical="center"/>
    </xf>
    <xf numFmtId="0" fontId="124" fillId="0" borderId="0" xfId="0" applyFont="1" applyFill="1" applyBorder="1" applyAlignment="1">
      <alignment horizontal="center" vertical="center"/>
    </xf>
    <xf numFmtId="43" fontId="124" fillId="0" borderId="0" xfId="237" applyFont="1" applyFill="1" applyBorder="1" applyAlignment="1">
      <alignment vertical="center"/>
    </xf>
    <xf numFmtId="15" fontId="124" fillId="0" borderId="0" xfId="3732" applyNumberFormat="1" applyFont="1" applyFill="1" applyBorder="1" applyAlignment="1">
      <alignment horizontal="right" wrapText="1"/>
    </xf>
    <xf numFmtId="0" fontId="124" fillId="0" borderId="0" xfId="3732" applyFont="1" applyFill="1" applyBorder="1" applyAlignment="1">
      <alignment horizontal="right" wrapText="1"/>
    </xf>
    <xf numFmtId="0" fontId="124" fillId="0" borderId="0" xfId="3732" applyFont="1" applyFill="1" applyBorder="1" applyAlignment="1">
      <alignment horizontal="center" wrapText="1"/>
    </xf>
    <xf numFmtId="0" fontId="124" fillId="0" borderId="0" xfId="3732" applyFont="1" applyFill="1" applyBorder="1" applyAlignment="1">
      <alignment wrapText="1"/>
    </xf>
    <xf numFmtId="164" fontId="124" fillId="0" borderId="0" xfId="3732" applyNumberFormat="1" applyFont="1" applyFill="1" applyBorder="1" applyAlignment="1">
      <alignment horizontal="right" wrapText="1"/>
    </xf>
    <xf numFmtId="15" fontId="124" fillId="0" borderId="0" xfId="3568" applyNumberFormat="1" applyFont="1" applyFill="1" applyBorder="1" applyAlignment="1">
      <alignment horizontal="right" wrapText="1"/>
    </xf>
    <xf numFmtId="0" fontId="124" fillId="0" borderId="0" xfId="3568" applyFont="1" applyFill="1" applyBorder="1" applyAlignment="1">
      <alignment horizontal="right" wrapText="1"/>
    </xf>
    <xf numFmtId="0" fontId="124" fillId="0" borderId="0" xfId="3568" applyFont="1" applyFill="1" applyBorder="1" applyAlignment="1">
      <alignment horizontal="center" wrapText="1"/>
    </xf>
    <xf numFmtId="0" fontId="124" fillId="0" borderId="0" xfId="3568" applyFont="1" applyFill="1" applyBorder="1" applyAlignment="1">
      <alignment wrapText="1"/>
    </xf>
    <xf numFmtId="164" fontId="124" fillId="0" borderId="0" xfId="3568" applyNumberFormat="1" applyFont="1" applyFill="1" applyBorder="1" applyAlignment="1">
      <alignment horizontal="right" wrapText="1"/>
    </xf>
    <xf numFmtId="0" fontId="124" fillId="0" borderId="0" xfId="3511" applyFont="1" applyFill="1" applyBorder="1" applyAlignment="1">
      <alignment horizontal="left" wrapText="1"/>
    </xf>
    <xf numFmtId="0" fontId="0" fillId="0" borderId="0" xfId="0" applyBorder="1" applyAlignment="1">
      <alignment horizontal="right"/>
    </xf>
    <xf numFmtId="14" fontId="124" fillId="0" borderId="0" xfId="0" applyNumberFormat="1" applyFont="1" applyFill="1" applyBorder="1"/>
    <xf numFmtId="0" fontId="124" fillId="0" borderId="0" xfId="0" applyFont="1" applyFill="1" applyBorder="1"/>
    <xf numFmtId="0" fontId="124" fillId="0" borderId="0" xfId="0" applyFont="1" applyFill="1" applyBorder="1" applyAlignment="1">
      <alignment horizontal="center"/>
    </xf>
    <xf numFmtId="0" fontId="124" fillId="0" borderId="0" xfId="3511" applyFont="1" applyFill="1" applyBorder="1" applyAlignment="1">
      <alignment wrapText="1"/>
    </xf>
    <xf numFmtId="165" fontId="124" fillId="0" borderId="0" xfId="0" applyNumberFormat="1" applyFont="1" applyFill="1" applyBorder="1"/>
    <xf numFmtId="15" fontId="124" fillId="0" borderId="0" xfId="3536" applyNumberFormat="1" applyFont="1" applyFill="1" applyBorder="1" applyAlignment="1">
      <alignment horizontal="right" wrapText="1"/>
    </xf>
    <xf numFmtId="0" fontId="124" fillId="0" borderId="0" xfId="3536" applyFont="1" applyFill="1" applyBorder="1" applyAlignment="1">
      <alignment horizontal="center" wrapText="1"/>
    </xf>
    <xf numFmtId="0" fontId="124" fillId="0" borderId="0" xfId="3536" applyFont="1" applyFill="1" applyBorder="1" applyAlignment="1">
      <alignment wrapText="1"/>
    </xf>
    <xf numFmtId="15" fontId="124" fillId="0" borderId="0" xfId="3606" applyNumberFormat="1" applyFont="1" applyFill="1" applyBorder="1" applyAlignment="1">
      <alignment horizontal="right" wrapText="1"/>
    </xf>
    <xf numFmtId="0" fontId="124" fillId="0" borderId="0" xfId="3606" applyFont="1" applyFill="1" applyBorder="1" applyAlignment="1">
      <alignment horizontal="center" wrapText="1"/>
    </xf>
    <xf numFmtId="0" fontId="124" fillId="0" borderId="0" xfId="3606" applyFont="1" applyFill="1" applyBorder="1" applyAlignment="1">
      <alignment wrapText="1"/>
    </xf>
    <xf numFmtId="164" fontId="124" fillId="0" borderId="0" xfId="3606" applyNumberFormat="1" applyFont="1" applyFill="1" applyBorder="1" applyAlignment="1">
      <alignment horizontal="right" wrapText="1"/>
    </xf>
    <xf numFmtId="15" fontId="126" fillId="0" borderId="0" xfId="3504" applyNumberFormat="1" applyFont="1" applyFill="1" applyBorder="1" applyAlignment="1">
      <alignment horizontal="right" wrapText="1"/>
    </xf>
    <xf numFmtId="0" fontId="126" fillId="0" borderId="0" xfId="0" applyFont="1" applyFill="1" applyBorder="1" applyAlignment="1">
      <alignment horizontal="right" vertical="center"/>
    </xf>
    <xf numFmtId="0" fontId="126" fillId="0" borderId="0" xfId="0" applyFont="1" applyFill="1" applyBorder="1" applyAlignment="1">
      <alignment horizontal="center" vertical="center"/>
    </xf>
    <xf numFmtId="0" fontId="126" fillId="0" borderId="0" xfId="0" applyFont="1" applyFill="1" applyBorder="1" applyAlignment="1">
      <alignment vertical="center"/>
    </xf>
    <xf numFmtId="43" fontId="126" fillId="0" borderId="0" xfId="237" applyFont="1" applyFill="1" applyBorder="1" applyAlignment="1">
      <alignment vertical="center"/>
    </xf>
    <xf numFmtId="15" fontId="124" fillId="0" borderId="0" xfId="3732" applyNumberFormat="1" applyFont="1" applyFill="1" applyBorder="1" applyAlignment="1">
      <alignment horizontal="right"/>
    </xf>
    <xf numFmtId="0" fontId="124" fillId="0" borderId="0" xfId="3732" applyFont="1" applyFill="1" applyBorder="1" applyAlignment="1">
      <alignment horizontal="center"/>
    </xf>
    <xf numFmtId="164" fontId="124" fillId="0" borderId="0" xfId="3732" applyNumberFormat="1" applyFont="1" applyFill="1" applyBorder="1" applyAlignment="1">
      <alignment horizontal="right"/>
    </xf>
    <xf numFmtId="0" fontId="124" fillId="0" borderId="0" xfId="3529" applyFont="1" applyFill="1" applyBorder="1" applyAlignment="1">
      <alignment horizontal="right" wrapText="1"/>
    </xf>
    <xf numFmtId="0" fontId="124" fillId="0" borderId="0" xfId="3529" applyFont="1" applyFill="1" applyBorder="1" applyAlignment="1">
      <alignment wrapText="1"/>
    </xf>
    <xf numFmtId="0" fontId="124" fillId="0" borderId="0" xfId="3504" applyFont="1" applyFill="1" applyBorder="1" applyAlignment="1">
      <alignment horizontal="right" wrapText="1"/>
    </xf>
    <xf numFmtId="0" fontId="124" fillId="0" borderId="0" xfId="3504" applyFont="1" applyFill="1" applyBorder="1" applyAlignment="1">
      <alignment wrapText="1"/>
    </xf>
    <xf numFmtId="0" fontId="124" fillId="0" borderId="0" xfId="200" applyFont="1" applyFill="1" applyBorder="1" applyAlignment="1">
      <alignment horizontal="right"/>
    </xf>
    <xf numFmtId="0" fontId="124" fillId="0" borderId="0" xfId="200" applyFont="1" applyFill="1" applyBorder="1" applyAlignment="1">
      <alignment horizontal="center"/>
    </xf>
    <xf numFmtId="167" fontId="124" fillId="0" borderId="0" xfId="339" applyNumberFormat="1" applyFont="1" applyFill="1" applyBorder="1"/>
    <xf numFmtId="0" fontId="124" fillId="0" borderId="0" xfId="3624" applyFont="1" applyFill="1" applyBorder="1" applyAlignment="1">
      <alignment horizontal="right" wrapText="1"/>
    </xf>
    <xf numFmtId="0" fontId="124" fillId="0" borderId="0" xfId="3624" applyFont="1" applyFill="1" applyBorder="1" applyAlignment="1">
      <alignment wrapText="1"/>
    </xf>
    <xf numFmtId="164" fontId="124" fillId="0" borderId="0" xfId="3624" applyNumberFormat="1" applyFont="1" applyFill="1" applyBorder="1" applyAlignment="1">
      <alignment horizontal="right" wrapText="1"/>
    </xf>
    <xf numFmtId="0" fontId="124" fillId="0" borderId="0" xfId="3638" applyFont="1" applyFill="1" applyBorder="1" applyAlignment="1">
      <alignment horizontal="right" wrapText="1"/>
    </xf>
    <xf numFmtId="0" fontId="124" fillId="0" borderId="0" xfId="3638" applyFont="1" applyFill="1" applyBorder="1" applyAlignment="1">
      <alignment horizontal="center" wrapText="1"/>
    </xf>
    <xf numFmtId="164" fontId="124" fillId="0" borderId="0" xfId="3638" applyNumberFormat="1" applyFont="1" applyFill="1" applyBorder="1" applyAlignment="1">
      <alignment horizontal="right" wrapText="1"/>
    </xf>
    <xf numFmtId="0" fontId="124" fillId="0" borderId="0" xfId="3456" applyFont="1" applyFill="1" applyBorder="1" applyAlignment="1">
      <alignment horizontal="right" wrapText="1"/>
    </xf>
    <xf numFmtId="0" fontId="124" fillId="0" borderId="0" xfId="3456" applyFont="1" applyFill="1" applyBorder="1" applyAlignment="1">
      <alignment horizontal="center" wrapText="1"/>
    </xf>
    <xf numFmtId="164" fontId="124" fillId="0" borderId="0" xfId="3456" applyNumberFormat="1" applyFont="1" applyFill="1" applyBorder="1" applyAlignment="1">
      <alignment horizontal="right" wrapText="1"/>
    </xf>
    <xf numFmtId="15" fontId="124" fillId="0" borderId="0" xfId="0" applyNumberFormat="1" applyFont="1" applyFill="1" applyBorder="1"/>
    <xf numFmtId="0" fontId="124" fillId="0" borderId="0" xfId="3691" applyFont="1" applyFill="1" applyBorder="1" applyAlignment="1">
      <alignment horizontal="right" wrapText="1"/>
    </xf>
    <xf numFmtId="0" fontId="124" fillId="0" borderId="0" xfId="3691" applyFont="1" applyFill="1" applyBorder="1" applyAlignment="1">
      <alignment horizontal="center" wrapText="1"/>
    </xf>
    <xf numFmtId="0" fontId="124" fillId="0" borderId="0" xfId="3691" applyFont="1" applyFill="1" applyBorder="1" applyAlignment="1">
      <alignment wrapText="1"/>
    </xf>
    <xf numFmtId="165" fontId="124" fillId="0" borderId="0" xfId="3691" applyNumberFormat="1" applyFont="1" applyFill="1" applyBorder="1" applyAlignment="1">
      <alignment horizontal="right" wrapText="1"/>
    </xf>
    <xf numFmtId="0" fontId="126" fillId="0" borderId="0" xfId="3732" applyFont="1" applyFill="1" applyBorder="1" applyAlignment="1">
      <alignment horizontal="right"/>
    </xf>
    <xf numFmtId="0" fontId="126" fillId="0" borderId="0" xfId="3732" applyFont="1" applyFill="1" applyBorder="1" applyAlignment="1">
      <alignment horizontal="center"/>
    </xf>
    <xf numFmtId="164" fontId="126" fillId="0" borderId="0" xfId="3732" applyNumberFormat="1" applyFont="1" applyFill="1" applyBorder="1" applyAlignment="1">
      <alignment horizontal="right"/>
    </xf>
    <xf numFmtId="164" fontId="16" fillId="0" borderId="0" xfId="0" applyNumberFormat="1" applyFont="1" applyBorder="1"/>
    <xf numFmtId="4" fontId="0" fillId="0" borderId="0" xfId="0" applyNumberFormat="1" applyAlignment="1">
      <alignment horizontal="right"/>
    </xf>
    <xf numFmtId="0" fontId="16" fillId="0" borderId="0" xfId="0" applyFont="1" applyAlignment="1">
      <alignment horizontal="center"/>
    </xf>
    <xf numFmtId="164" fontId="0" fillId="0" borderId="0" xfId="3466" applyNumberFormat="1" applyFont="1"/>
    <xf numFmtId="167" fontId="0" fillId="0" borderId="0" xfId="3466" applyFont="1"/>
    <xf numFmtId="164" fontId="0" fillId="0" borderId="0" xfId="0" applyNumberFormat="1"/>
    <xf numFmtId="0" fontId="0" fillId="65" borderId="47" xfId="0" applyFill="1" applyBorder="1"/>
    <xf numFmtId="187" fontId="0" fillId="65" borderId="47" xfId="0" applyNumberFormat="1" applyFill="1" applyBorder="1"/>
    <xf numFmtId="4" fontId="106" fillId="0" borderId="109" xfId="0" applyNumberFormat="1" applyFont="1" applyBorder="1" applyAlignment="1">
      <alignment horizontal="center"/>
    </xf>
    <xf numFmtId="164" fontId="124" fillId="0" borderId="0" xfId="3504" applyNumberFormat="1" applyFont="1" applyFill="1" applyBorder="1" applyAlignment="1">
      <alignment horizontal="right" wrapText="1"/>
    </xf>
    <xf numFmtId="15" fontId="126" fillId="0" borderId="0" xfId="3732" applyNumberFormat="1" applyFont="1" applyFill="1" applyBorder="1" applyAlignment="1">
      <alignment horizontal="right"/>
    </xf>
    <xf numFmtId="0" fontId="124" fillId="0" borderId="0" xfId="3732" applyFont="1" applyFill="1" applyBorder="1" applyAlignment="1">
      <alignment horizontal="right"/>
    </xf>
    <xf numFmtId="0" fontId="124" fillId="0" borderId="0" xfId="200" applyNumberFormat="1" applyFont="1" applyFill="1" applyBorder="1" applyAlignment="1">
      <alignment horizontal="right"/>
    </xf>
    <xf numFmtId="0" fontId="124" fillId="0" borderId="0" xfId="3638" applyFont="1" applyFill="1" applyBorder="1" applyAlignment="1">
      <alignment wrapText="1"/>
    </xf>
    <xf numFmtId="0" fontId="126" fillId="0" borderId="0" xfId="3732" applyFont="1" applyFill="1" applyBorder="1" applyAlignment="1"/>
    <xf numFmtId="0" fontId="124" fillId="0" borderId="0" xfId="3732" applyFont="1" applyFill="1" applyBorder="1" applyAlignment="1"/>
    <xf numFmtId="0" fontId="124" fillId="0" borderId="0" xfId="200" applyFont="1" applyFill="1" applyBorder="1" applyAlignment="1">
      <alignment horizontal="left"/>
    </xf>
    <xf numFmtId="15" fontId="124" fillId="0" borderId="0" xfId="3456" applyNumberFormat="1" applyFont="1" applyFill="1" applyBorder="1" applyAlignment="1">
      <alignment horizontal="right" wrapText="1"/>
    </xf>
    <xf numFmtId="195" fontId="0" fillId="0" borderId="0" xfId="0" applyNumberFormat="1" applyBorder="1"/>
    <xf numFmtId="15" fontId="124" fillId="0" borderId="0" xfId="3529" applyNumberFormat="1" applyFont="1" applyFill="1" applyBorder="1" applyAlignment="1">
      <alignment horizontal="right" wrapText="1"/>
    </xf>
    <xf numFmtId="4" fontId="0" fillId="0" borderId="0" xfId="0" applyNumberFormat="1" applyBorder="1" applyAlignment="1">
      <alignment horizontal="left"/>
    </xf>
    <xf numFmtId="0" fontId="124" fillId="0" borderId="0" xfId="3456" applyFont="1" applyFill="1" applyBorder="1" applyAlignment="1">
      <alignment wrapText="1"/>
    </xf>
    <xf numFmtId="167" fontId="16" fillId="0" borderId="0" xfId="3466" applyFont="1" applyAlignment="1">
      <alignment horizontal="center"/>
    </xf>
    <xf numFmtId="0" fontId="124" fillId="0" borderId="0" xfId="3529" applyFont="1" applyFill="1" applyBorder="1" applyAlignment="1">
      <alignment horizontal="center" wrapText="1"/>
    </xf>
    <xf numFmtId="15" fontId="124" fillId="0" borderId="0" xfId="3624" applyNumberFormat="1" applyFont="1" applyFill="1" applyBorder="1" applyAlignment="1">
      <alignment horizontal="right" wrapText="1"/>
    </xf>
    <xf numFmtId="167" fontId="0" fillId="0" borderId="0" xfId="0" applyNumberFormat="1"/>
    <xf numFmtId="164" fontId="124" fillId="0" borderId="0" xfId="3529" applyNumberFormat="1" applyFont="1" applyFill="1" applyBorder="1" applyAlignment="1">
      <alignment horizontal="right" wrapText="1"/>
    </xf>
    <xf numFmtId="0" fontId="124" fillId="0" borderId="0" xfId="3624" applyFont="1" applyFill="1" applyBorder="1" applyAlignment="1">
      <alignment horizontal="center" wrapText="1"/>
    </xf>
    <xf numFmtId="15" fontId="124" fillId="0" borderId="0" xfId="3691" applyNumberFormat="1" applyFont="1" applyFill="1" applyBorder="1" applyAlignment="1">
      <alignment horizontal="right" wrapText="1"/>
    </xf>
    <xf numFmtId="0" fontId="124" fillId="0" borderId="0" xfId="3504" applyFont="1" applyFill="1" applyBorder="1" applyAlignment="1">
      <alignment horizontal="center" wrapText="1"/>
    </xf>
    <xf numFmtId="49" fontId="124" fillId="0" borderId="19" xfId="3529" applyNumberFormat="1" applyFont="1" applyFill="1" applyBorder="1" applyAlignment="1">
      <alignment wrapText="1"/>
    </xf>
    <xf numFmtId="2" fontId="110" fillId="69" borderId="98" xfId="0" quotePrefix="1" applyNumberFormat="1" applyFont="1" applyFill="1" applyBorder="1" applyAlignment="1">
      <alignment horizontal="center"/>
    </xf>
    <xf numFmtId="187" fontId="100" fillId="65" borderId="24" xfId="0" applyNumberFormat="1" applyFont="1" applyFill="1" applyBorder="1"/>
    <xf numFmtId="0" fontId="124" fillId="0" borderId="0" xfId="3536" applyFont="1" applyFill="1" applyBorder="1" applyAlignment="1">
      <alignment horizontal="right" wrapText="1"/>
    </xf>
    <xf numFmtId="0" fontId="122" fillId="74" borderId="0" xfId="0" applyFont="1" applyFill="1"/>
    <xf numFmtId="167" fontId="124" fillId="0" borderId="0" xfId="3536" applyNumberFormat="1" applyFont="1" applyFill="1" applyBorder="1" applyAlignment="1">
      <alignment horizontal="right" wrapText="1"/>
    </xf>
    <xf numFmtId="4" fontId="106" fillId="0" borderId="92" xfId="0" applyNumberFormat="1" applyFont="1" applyFill="1" applyBorder="1"/>
    <xf numFmtId="49" fontId="124" fillId="0" borderId="0" xfId="0" applyNumberFormat="1" applyFont="1" applyFill="1" applyBorder="1" applyAlignment="1">
      <alignment vertical="center"/>
    </xf>
    <xf numFmtId="2" fontId="0" fillId="0" borderId="0" xfId="0" applyNumberFormat="1" applyFill="1"/>
    <xf numFmtId="0" fontId="124" fillId="0" borderId="0" xfId="3606" applyFont="1" applyFill="1" applyBorder="1" applyAlignment="1">
      <alignment horizontal="right" wrapText="1"/>
    </xf>
    <xf numFmtId="49" fontId="124" fillId="0" borderId="19" xfId="3522" applyNumberFormat="1" applyFont="1" applyFill="1" applyBorder="1" applyAlignment="1">
      <alignment wrapText="1"/>
    </xf>
    <xf numFmtId="0" fontId="105" fillId="68" borderId="35" xfId="0" applyNumberFormat="1" applyFont="1" applyFill="1" applyBorder="1" applyAlignment="1"/>
    <xf numFmtId="2" fontId="0" fillId="0" borderId="0" xfId="0" applyNumberFormat="1"/>
    <xf numFmtId="0" fontId="0" fillId="0" borderId="38" xfId="0" applyFill="1" applyBorder="1"/>
    <xf numFmtId="2" fontId="105" fillId="0" borderId="38" xfId="0" applyNumberFormat="1" applyFont="1" applyFill="1" applyBorder="1"/>
    <xf numFmtId="4" fontId="105" fillId="0" borderId="0" xfId="0" applyNumberFormat="1" applyFont="1" applyFill="1" applyBorder="1"/>
    <xf numFmtId="2" fontId="106" fillId="0" borderId="38" xfId="0" applyNumberFormat="1" applyFont="1" applyFill="1" applyBorder="1"/>
    <xf numFmtId="4" fontId="0" fillId="0" borderId="40" xfId="0" applyNumberFormat="1" applyBorder="1"/>
    <xf numFmtId="4" fontId="0" fillId="0" borderId="0" xfId="0" applyNumberFormat="1" applyBorder="1"/>
    <xf numFmtId="4" fontId="106" fillId="0" borderId="40" xfId="0" applyNumberFormat="1" applyFont="1" applyFill="1" applyBorder="1" applyAlignment="1"/>
    <xf numFmtId="2" fontId="106" fillId="0" borderId="0" xfId="0" applyNumberFormat="1" applyFont="1" applyFill="1" applyBorder="1" applyAlignment="1"/>
    <xf numFmtId="2" fontId="106" fillId="0" borderId="40" xfId="0" applyNumberFormat="1" applyFont="1" applyFill="1" applyBorder="1" applyAlignment="1"/>
    <xf numFmtId="4" fontId="106" fillId="0" borderId="0" xfId="0" applyNumberFormat="1" applyFont="1" applyFill="1" applyBorder="1" applyAlignment="1"/>
    <xf numFmtId="4" fontId="105" fillId="0" borderId="0" xfId="0" applyNumberFormat="1" applyFont="1" applyFill="1" applyBorder="1" applyAlignment="1"/>
    <xf numFmtId="2" fontId="105" fillId="0" borderId="0" xfId="0" applyNumberFormat="1" applyFont="1" applyFill="1" applyBorder="1" applyAlignment="1"/>
    <xf numFmtId="2" fontId="105" fillId="0" borderId="38" xfId="0" applyNumberFormat="1" applyFont="1" applyFill="1" applyBorder="1" applyAlignment="1"/>
    <xf numFmtId="0" fontId="0" fillId="0" borderId="40" xfId="0" applyBorder="1"/>
    <xf numFmtId="0" fontId="0" fillId="0" borderId="0" xfId="0" applyBorder="1"/>
    <xf numFmtId="0" fontId="0" fillId="0" borderId="38" xfId="0" applyBorder="1"/>
    <xf numFmtId="2" fontId="106" fillId="0" borderId="190" xfId="0" applyNumberFormat="1" applyFont="1" applyFill="1" applyBorder="1"/>
    <xf numFmtId="4" fontId="105" fillId="0" borderId="189" xfId="0" applyNumberFormat="1" applyFont="1" applyFill="1" applyBorder="1"/>
    <xf numFmtId="2" fontId="106" fillId="0" borderId="189" xfId="0" applyNumberFormat="1" applyFont="1" applyFill="1" applyBorder="1"/>
    <xf numFmtId="2" fontId="106" fillId="0" borderId="188" xfId="0" applyNumberFormat="1" applyFont="1" applyFill="1" applyBorder="1"/>
    <xf numFmtId="2" fontId="105" fillId="67" borderId="186" xfId="0" applyNumberFormat="1" applyFont="1" applyFill="1" applyBorder="1" applyAlignment="1">
      <alignment horizontal="center"/>
    </xf>
    <xf numFmtId="4" fontId="105" fillId="68" borderId="185" xfId="0" applyNumberFormat="1" applyFont="1" applyFill="1" applyBorder="1" applyAlignment="1"/>
    <xf numFmtId="4" fontId="105" fillId="68" borderId="47" xfId="0" applyNumberFormat="1" applyFont="1" applyFill="1" applyBorder="1" applyAlignment="1"/>
    <xf numFmtId="4" fontId="105" fillId="68" borderId="184" xfId="0" applyNumberFormat="1" applyFont="1" applyFill="1" applyBorder="1" applyAlignment="1"/>
    <xf numFmtId="4" fontId="105" fillId="67" borderId="47" xfId="0" applyNumberFormat="1" applyFont="1" applyFill="1" applyBorder="1" applyAlignment="1"/>
    <xf numFmtId="2" fontId="105" fillId="67" borderId="187" xfId="0" applyNumberFormat="1" applyFont="1" applyFill="1" applyBorder="1" applyAlignment="1">
      <alignment horizontal="center"/>
    </xf>
    <xf numFmtId="2" fontId="105" fillId="67" borderId="186" xfId="0" applyNumberFormat="1" applyFont="1" applyFill="1" applyBorder="1"/>
    <xf numFmtId="2" fontId="110" fillId="0" borderId="184" xfId="0" quotePrefix="1" applyNumberFormat="1" applyFont="1" applyFill="1" applyBorder="1" applyAlignment="1" applyProtection="1">
      <alignment horizontal="center"/>
    </xf>
    <xf numFmtId="4" fontId="106" fillId="0" borderId="185" xfId="0" applyNumberFormat="1" applyFont="1" applyFill="1" applyBorder="1"/>
    <xf numFmtId="2" fontId="108" fillId="0" borderId="184" xfId="0" quotePrefix="1" applyNumberFormat="1" applyFont="1" applyFill="1" applyBorder="1" applyAlignment="1" applyProtection="1">
      <alignment horizontal="center"/>
    </xf>
    <xf numFmtId="4" fontId="106" fillId="0" borderId="185" xfId="0" applyNumberFormat="1" applyFont="1" applyBorder="1" applyAlignment="1">
      <alignment horizontal="center"/>
    </xf>
    <xf numFmtId="2" fontId="108" fillId="71" borderId="184" xfId="0" quotePrefix="1" applyNumberFormat="1" applyFont="1" applyFill="1" applyBorder="1" applyAlignment="1" applyProtection="1">
      <alignment horizontal="center"/>
    </xf>
    <xf numFmtId="4" fontId="110" fillId="0" borderId="183" xfId="0" applyNumberFormat="1" applyFont="1" applyFill="1" applyBorder="1" applyAlignment="1"/>
    <xf numFmtId="0" fontId="106" fillId="0" borderId="117" xfId="3840" applyNumberFormat="1" applyFont="1" applyFill="1" applyBorder="1" applyAlignment="1">
      <alignment horizontal="center"/>
    </xf>
    <xf numFmtId="2" fontId="108" fillId="71" borderId="181" xfId="0" quotePrefix="1" applyNumberFormat="1" applyFont="1" applyFill="1" applyBorder="1" applyAlignment="1" applyProtection="1">
      <alignment horizontal="center"/>
    </xf>
    <xf numFmtId="4" fontId="106" fillId="0" borderId="182" xfId="0" applyNumberFormat="1" applyFont="1" applyFill="1" applyBorder="1"/>
    <xf numFmtId="4" fontId="106" fillId="0" borderId="182" xfId="0" applyNumberFormat="1" applyFont="1" applyBorder="1" applyAlignment="1">
      <alignment horizontal="center"/>
    </xf>
    <xf numFmtId="2" fontId="108" fillId="0" borderId="181" xfId="55" quotePrefix="1" applyNumberFormat="1" applyFont="1" applyBorder="1" applyAlignment="1">
      <alignment horizontal="center"/>
    </xf>
    <xf numFmtId="4" fontId="110" fillId="0" borderId="180" xfId="0" applyNumberFormat="1" applyFont="1" applyFill="1" applyBorder="1" applyAlignment="1"/>
    <xf numFmtId="4" fontId="106" fillId="0" borderId="179" xfId="0" applyNumberFormat="1" applyFont="1" applyFill="1" applyBorder="1"/>
    <xf numFmtId="4" fontId="106" fillId="0" borderId="179" xfId="0" applyNumberFormat="1" applyFont="1" applyBorder="1" applyAlignment="1">
      <alignment horizontal="center"/>
    </xf>
    <xf numFmtId="2" fontId="108" fillId="0" borderId="178" xfId="55" quotePrefix="1" applyNumberFormat="1" applyFont="1" applyBorder="1" applyAlignment="1">
      <alignment horizontal="center"/>
    </xf>
    <xf numFmtId="4" fontId="110" fillId="0" borderId="177" xfId="0" applyNumberFormat="1" applyFont="1" applyFill="1" applyBorder="1" applyAlignment="1"/>
    <xf numFmtId="4" fontId="106" fillId="0" borderId="176" xfId="0" applyNumberFormat="1" applyFont="1" applyFill="1" applyBorder="1"/>
    <xf numFmtId="2" fontId="108" fillId="0" borderId="175" xfId="55" quotePrefix="1" applyNumberFormat="1" applyFont="1" applyBorder="1" applyAlignment="1">
      <alignment horizontal="center"/>
    </xf>
    <xf numFmtId="4" fontId="106" fillId="0" borderId="176" xfId="0" applyNumberFormat="1" applyFont="1" applyBorder="1" applyAlignment="1">
      <alignment horizontal="center"/>
    </xf>
    <xf numFmtId="2" fontId="110" fillId="0" borderId="175" xfId="55" quotePrefix="1" applyNumberFormat="1" applyFont="1" applyBorder="1" applyAlignment="1">
      <alignment horizontal="center"/>
    </xf>
    <xf numFmtId="4" fontId="110" fillId="0" borderId="174" xfId="0" applyNumberFormat="1" applyFont="1" applyFill="1" applyBorder="1" applyAlignment="1"/>
    <xf numFmtId="4" fontId="106" fillId="0" borderId="173" xfId="0" applyNumberFormat="1" applyFont="1" applyFill="1" applyBorder="1"/>
    <xf numFmtId="4" fontId="106" fillId="0" borderId="173" xfId="0" applyNumberFormat="1" applyFont="1" applyBorder="1" applyAlignment="1">
      <alignment horizontal="center"/>
    </xf>
    <xf numFmtId="2" fontId="110" fillId="0" borderId="172" xfId="55" quotePrefix="1" applyNumberFormat="1" applyFont="1" applyBorder="1" applyAlignment="1">
      <alignment horizontal="center"/>
    </xf>
    <xf numFmtId="4" fontId="110" fillId="0" borderId="171" xfId="0" applyNumberFormat="1" applyFont="1" applyFill="1" applyBorder="1" applyAlignment="1"/>
    <xf numFmtId="2" fontId="110" fillId="0" borderId="169" xfId="55" quotePrefix="1" applyNumberFormat="1" applyFont="1" applyBorder="1" applyAlignment="1">
      <alignment horizontal="center"/>
    </xf>
    <xf numFmtId="4" fontId="106" fillId="0" borderId="170" xfId="0" applyNumberFormat="1" applyFont="1" applyFill="1" applyBorder="1"/>
    <xf numFmtId="4" fontId="106" fillId="0" borderId="170" xfId="0" applyNumberFormat="1" applyFont="1" applyBorder="1" applyAlignment="1">
      <alignment horizontal="center"/>
    </xf>
    <xf numFmtId="2" fontId="108" fillId="0" borderId="169" xfId="55" quotePrefix="1" applyNumberFormat="1" applyFont="1" applyBorder="1" applyAlignment="1">
      <alignment horizontal="center"/>
    </xf>
    <xf numFmtId="4" fontId="110" fillId="0" borderId="168" xfId="0" applyNumberFormat="1" applyFont="1" applyFill="1" applyBorder="1" applyAlignment="1"/>
    <xf numFmtId="4" fontId="106" fillId="0" borderId="166" xfId="0" applyNumberFormat="1" applyFont="1" applyFill="1" applyBorder="1"/>
    <xf numFmtId="0" fontId="106" fillId="0" borderId="167" xfId="0" applyNumberFormat="1" applyFont="1" applyFill="1" applyBorder="1" applyAlignment="1" applyProtection="1">
      <alignment horizontal="center"/>
    </xf>
    <xf numFmtId="4" fontId="106" fillId="0" borderId="166" xfId="0" applyNumberFormat="1" applyFont="1" applyBorder="1" applyAlignment="1">
      <alignment horizontal="center"/>
    </xf>
    <xf numFmtId="2" fontId="108" fillId="0" borderId="165" xfId="55" quotePrefix="1" applyNumberFormat="1" applyFont="1" applyBorder="1" applyAlignment="1">
      <alignment horizontal="center"/>
    </xf>
    <xf numFmtId="4" fontId="110" fillId="0" borderId="164" xfId="0" applyNumberFormat="1" applyFont="1" applyFill="1" applyBorder="1" applyAlignment="1"/>
    <xf numFmtId="4" fontId="106" fillId="0" borderId="163" xfId="0" applyNumberFormat="1" applyFont="1" applyFill="1" applyBorder="1"/>
    <xf numFmtId="4" fontId="106" fillId="0" borderId="163" xfId="0" applyNumberFormat="1" applyFont="1" applyBorder="1" applyAlignment="1">
      <alignment horizontal="center"/>
    </xf>
    <xf numFmtId="2" fontId="108" fillId="0" borderId="162" xfId="55" quotePrefix="1" applyNumberFormat="1" applyFont="1" applyBorder="1" applyAlignment="1">
      <alignment horizontal="center"/>
    </xf>
    <xf numFmtId="4" fontId="110" fillId="0" borderId="161" xfId="0" applyNumberFormat="1" applyFont="1" applyFill="1" applyBorder="1" applyAlignment="1"/>
    <xf numFmtId="4" fontId="106" fillId="0" borderId="160" xfId="0" applyNumberFormat="1" applyFont="1" applyFill="1" applyBorder="1"/>
    <xf numFmtId="2" fontId="108" fillId="0" borderId="159" xfId="55" quotePrefix="1" applyNumberFormat="1" applyFont="1" applyBorder="1" applyAlignment="1">
      <alignment horizontal="center"/>
    </xf>
    <xf numFmtId="4" fontId="106" fillId="0" borderId="160" xfId="0" applyNumberFormat="1" applyFont="1" applyBorder="1" applyAlignment="1">
      <alignment horizontal="center"/>
    </xf>
    <xf numFmtId="2" fontId="108" fillId="0" borderId="159" xfId="0" quotePrefix="1" applyNumberFormat="1" applyFont="1" applyBorder="1" applyAlignment="1">
      <alignment horizontal="center"/>
    </xf>
    <xf numFmtId="4" fontId="110" fillId="0" borderId="158" xfId="0" applyNumberFormat="1" applyFont="1" applyFill="1" applyBorder="1" applyAlignment="1"/>
    <xf numFmtId="4" fontId="106" fillId="0" borderId="157" xfId="0" applyNumberFormat="1" applyFont="1" applyFill="1" applyBorder="1"/>
    <xf numFmtId="4" fontId="106" fillId="0" borderId="157" xfId="0" applyNumberFormat="1" applyFont="1" applyBorder="1" applyAlignment="1">
      <alignment horizontal="center"/>
    </xf>
    <xf numFmtId="2" fontId="108" fillId="0" borderId="156" xfId="0" quotePrefix="1" applyNumberFormat="1" applyFont="1" applyBorder="1" applyAlignment="1">
      <alignment horizontal="center"/>
    </xf>
    <xf numFmtId="4" fontId="110" fillId="0" borderId="155" xfId="0" applyNumberFormat="1" applyFont="1" applyFill="1" applyBorder="1" applyAlignment="1"/>
    <xf numFmtId="4" fontId="106" fillId="0" borderId="153" xfId="0" applyNumberFormat="1" applyFont="1" applyFill="1" applyBorder="1"/>
    <xf numFmtId="0" fontId="106" fillId="0" borderId="154" xfId="0" applyNumberFormat="1" applyFont="1" applyFill="1" applyBorder="1" applyAlignment="1" applyProtection="1">
      <alignment horizontal="center"/>
    </xf>
    <xf numFmtId="4" fontId="106" fillId="0" borderId="153" xfId="0" applyNumberFormat="1" applyFont="1" applyBorder="1" applyAlignment="1">
      <alignment horizontal="center"/>
    </xf>
    <xf numFmtId="2" fontId="108" fillId="0" borderId="152" xfId="0" quotePrefix="1" applyNumberFormat="1" applyFont="1" applyBorder="1" applyAlignment="1">
      <alignment horizontal="center"/>
    </xf>
    <xf numFmtId="4" fontId="110" fillId="0" borderId="151" xfId="0" applyNumberFormat="1" applyFont="1" applyFill="1" applyBorder="1" applyAlignment="1"/>
    <xf numFmtId="4" fontId="106" fillId="0" borderId="149" xfId="0" applyNumberFormat="1" applyFont="1" applyFill="1" applyBorder="1"/>
    <xf numFmtId="0" fontId="106" fillId="0" borderId="150" xfId="0" applyNumberFormat="1" applyFont="1" applyFill="1" applyBorder="1" applyAlignment="1" applyProtection="1">
      <alignment horizontal="center"/>
    </xf>
    <xf numFmtId="4" fontId="106" fillId="0" borderId="149" xfId="0" applyNumberFormat="1" applyFont="1" applyBorder="1" applyAlignment="1">
      <alignment horizontal="center"/>
    </xf>
    <xf numFmtId="2" fontId="108" fillId="0" borderId="148" xfId="0" quotePrefix="1" applyNumberFormat="1" applyFont="1" applyBorder="1" applyAlignment="1">
      <alignment horizontal="center"/>
    </xf>
    <xf numFmtId="4" fontId="110" fillId="0" borderId="147" xfId="0" applyNumberFormat="1" applyFont="1" applyFill="1" applyBorder="1" applyAlignment="1"/>
    <xf numFmtId="4" fontId="106" fillId="0" borderId="146" xfId="0" applyNumberFormat="1" applyFont="1" applyFill="1" applyBorder="1"/>
    <xf numFmtId="4" fontId="106" fillId="0" borderId="146" xfId="0" applyNumberFormat="1" applyFont="1" applyBorder="1" applyAlignment="1">
      <alignment horizontal="center"/>
    </xf>
    <xf numFmtId="2" fontId="108" fillId="0" borderId="145" xfId="0" quotePrefix="1" applyNumberFormat="1" applyFont="1" applyBorder="1" applyAlignment="1">
      <alignment horizontal="center"/>
    </xf>
    <xf numFmtId="4" fontId="110" fillId="0" borderId="144" xfId="0" applyNumberFormat="1" applyFont="1" applyFill="1" applyBorder="1" applyAlignment="1"/>
    <xf numFmtId="4" fontId="106" fillId="0" borderId="143" xfId="0" applyNumberFormat="1" applyFont="1" applyFill="1" applyBorder="1"/>
    <xf numFmtId="4" fontId="106" fillId="0" borderId="143" xfId="0" applyNumberFormat="1" applyFont="1" applyBorder="1" applyAlignment="1">
      <alignment horizontal="center"/>
    </xf>
    <xf numFmtId="2" fontId="108" fillId="0" borderId="142" xfId="0" quotePrefix="1" applyNumberFormat="1" applyFont="1" applyBorder="1" applyAlignment="1">
      <alignment horizontal="center"/>
    </xf>
    <xf numFmtId="4" fontId="110" fillId="0" borderId="141" xfId="0" applyNumberFormat="1" applyFont="1" applyFill="1" applyBorder="1" applyAlignment="1"/>
    <xf numFmtId="4" fontId="106" fillId="0" borderId="140" xfId="0" applyNumberFormat="1" applyFont="1" applyFill="1" applyBorder="1"/>
    <xf numFmtId="4" fontId="106" fillId="0" borderId="140" xfId="0" applyNumberFormat="1" applyFont="1" applyBorder="1" applyAlignment="1">
      <alignment horizontal="center"/>
    </xf>
    <xf numFmtId="2" fontId="108" fillId="0" borderId="139" xfId="0" quotePrefix="1" applyNumberFormat="1" applyFont="1" applyBorder="1" applyAlignment="1">
      <alignment horizontal="center"/>
    </xf>
    <xf numFmtId="4" fontId="110" fillId="0" borderId="138" xfId="0" applyNumberFormat="1" applyFont="1" applyFill="1" applyBorder="1" applyAlignment="1"/>
    <xf numFmtId="4" fontId="106" fillId="0" borderId="137" xfId="0" applyNumberFormat="1" applyFont="1" applyFill="1" applyBorder="1"/>
    <xf numFmtId="4" fontId="106" fillId="0" borderId="137" xfId="0" applyNumberFormat="1" applyFont="1" applyBorder="1" applyAlignment="1">
      <alignment horizontal="center"/>
    </xf>
    <xf numFmtId="2" fontId="108" fillId="0" borderId="136" xfId="0" quotePrefix="1" applyNumberFormat="1" applyFont="1" applyBorder="1" applyAlignment="1">
      <alignment horizontal="center"/>
    </xf>
    <xf numFmtId="4" fontId="110" fillId="0" borderId="135" xfId="0" applyNumberFormat="1" applyFont="1" applyFill="1" applyBorder="1" applyAlignment="1"/>
    <xf numFmtId="4" fontId="106" fillId="0" borderId="134" xfId="0" applyNumberFormat="1" applyFont="1" applyFill="1" applyBorder="1"/>
    <xf numFmtId="4" fontId="106" fillId="0" borderId="134" xfId="0" applyNumberFormat="1" applyFont="1" applyBorder="1" applyAlignment="1">
      <alignment horizontal="center"/>
    </xf>
    <xf numFmtId="2" fontId="108" fillId="0" borderId="133" xfId="0" quotePrefix="1" applyNumberFormat="1" applyFont="1" applyBorder="1" applyAlignment="1">
      <alignment horizontal="center"/>
    </xf>
    <xf numFmtId="4" fontId="110" fillId="0" borderId="132" xfId="0" applyNumberFormat="1" applyFont="1" applyFill="1" applyBorder="1" applyAlignment="1"/>
    <xf numFmtId="4" fontId="106" fillId="0" borderId="131" xfId="0" applyNumberFormat="1" applyFont="1" applyFill="1" applyBorder="1"/>
    <xf numFmtId="2" fontId="108" fillId="0" borderId="130" xfId="0" quotePrefix="1" applyNumberFormat="1" applyFont="1" applyBorder="1" applyAlignment="1">
      <alignment horizontal="center"/>
    </xf>
    <xf numFmtId="4" fontId="106" fillId="0" borderId="131" xfId="0" applyNumberFormat="1" applyFont="1" applyBorder="1" applyAlignment="1">
      <alignment horizontal="center"/>
    </xf>
    <xf numFmtId="2" fontId="108" fillId="69" borderId="130" xfId="0" quotePrefix="1" applyNumberFormat="1" applyFont="1" applyFill="1" applyBorder="1" applyAlignment="1">
      <alignment horizontal="center"/>
    </xf>
    <xf numFmtId="4" fontId="110" fillId="0" borderId="129" xfId="0" applyNumberFormat="1" applyFont="1" applyFill="1" applyBorder="1" applyAlignment="1"/>
    <xf numFmtId="4" fontId="106" fillId="0" borderId="128" xfId="0" applyNumberFormat="1" applyFont="1" applyFill="1" applyBorder="1"/>
    <xf numFmtId="2" fontId="108" fillId="69" borderId="127" xfId="0" quotePrefix="1" applyNumberFormat="1" applyFont="1" applyFill="1" applyBorder="1" applyAlignment="1">
      <alignment horizontal="center"/>
    </xf>
    <xf numFmtId="4" fontId="106" fillId="0" borderId="128" xfId="0" applyNumberFormat="1" applyFont="1" applyBorder="1" applyAlignment="1">
      <alignment horizontal="center"/>
    </xf>
    <xf numFmtId="2" fontId="108" fillId="0" borderId="127" xfId="0" quotePrefix="1" applyNumberFormat="1" applyFont="1" applyBorder="1" applyAlignment="1">
      <alignment horizontal="center"/>
    </xf>
    <xf numFmtId="4" fontId="110" fillId="0" borderId="126" xfId="0" applyNumberFormat="1" applyFont="1" applyFill="1" applyBorder="1" applyAlignment="1"/>
    <xf numFmtId="4" fontId="106" fillId="0" borderId="125" xfId="0" applyNumberFormat="1" applyFont="1" applyFill="1" applyBorder="1"/>
    <xf numFmtId="2" fontId="108" fillId="0" borderId="124" xfId="0" quotePrefix="1" applyNumberFormat="1" applyFont="1" applyBorder="1" applyAlignment="1">
      <alignment horizontal="center"/>
    </xf>
    <xf numFmtId="4" fontId="106" fillId="0" borderId="125" xfId="0" applyNumberFormat="1" applyFont="1" applyBorder="1" applyAlignment="1">
      <alignment horizontal="center"/>
    </xf>
    <xf numFmtId="2" fontId="108" fillId="69" borderId="124" xfId="0" quotePrefix="1" applyNumberFormat="1" applyFont="1" applyFill="1" applyBorder="1" applyAlignment="1">
      <alignment horizontal="center"/>
    </xf>
    <xf numFmtId="4" fontId="110" fillId="0" borderId="123" xfId="0" applyNumberFormat="1" applyFont="1" applyFill="1" applyBorder="1" applyAlignment="1"/>
    <xf numFmtId="2" fontId="108" fillId="69" borderId="115" xfId="0" quotePrefix="1" applyNumberFormat="1" applyFont="1" applyFill="1" applyBorder="1" applyAlignment="1">
      <alignment horizontal="center"/>
    </xf>
    <xf numFmtId="4" fontId="108" fillId="0" borderId="47" xfId="0" applyNumberFormat="1" applyFont="1" applyFill="1" applyBorder="1" applyAlignment="1" applyProtection="1"/>
    <xf numFmtId="4" fontId="106" fillId="0" borderId="122" xfId="0" applyNumberFormat="1" applyFont="1" applyFill="1" applyBorder="1"/>
    <xf numFmtId="4" fontId="106" fillId="0" borderId="121" xfId="0" applyNumberFormat="1" applyFont="1" applyFill="1" applyBorder="1"/>
    <xf numFmtId="4" fontId="106" fillId="0" borderId="116" xfId="0" applyNumberFormat="1" applyFont="1" applyFill="1" applyBorder="1"/>
    <xf numFmtId="4" fontId="106" fillId="0" borderId="120" xfId="0" applyNumberFormat="1" applyFont="1" applyFill="1" applyBorder="1"/>
    <xf numFmtId="2" fontId="108" fillId="0" borderId="115" xfId="0" quotePrefix="1" applyNumberFormat="1" applyFont="1" applyFill="1" applyBorder="1" applyAlignment="1">
      <alignment horizontal="center"/>
    </xf>
    <xf numFmtId="4" fontId="106" fillId="0" borderId="119" xfId="0" applyNumberFormat="1" applyFont="1" applyFill="1" applyBorder="1" applyAlignment="1">
      <alignment horizontal="center"/>
    </xf>
    <xf numFmtId="0" fontId="106" fillId="0" borderId="118" xfId="0" applyNumberFormat="1" applyFont="1" applyFill="1" applyBorder="1" applyAlignment="1" applyProtection="1">
      <alignment horizontal="center"/>
    </xf>
    <xf numFmtId="2" fontId="108" fillId="0" borderId="108" xfId="0" quotePrefix="1" applyNumberFormat="1" applyFont="1" applyBorder="1" applyAlignment="1">
      <alignment horizontal="center"/>
    </xf>
    <xf numFmtId="0" fontId="106" fillId="0" borderId="117" xfId="0" applyNumberFormat="1" applyFont="1" applyFill="1" applyBorder="1" applyAlignment="1" applyProtection="1">
      <alignment horizontal="center"/>
    </xf>
    <xf numFmtId="2" fontId="108" fillId="0" borderId="115" xfId="0" quotePrefix="1" applyNumberFormat="1" applyFont="1" applyBorder="1" applyAlignment="1">
      <alignment horizontal="center"/>
    </xf>
    <xf numFmtId="4" fontId="106" fillId="0" borderId="116" xfId="0" applyNumberFormat="1" applyFont="1" applyBorder="1" applyAlignment="1">
      <alignment horizontal="center"/>
    </xf>
    <xf numFmtId="2" fontId="110" fillId="0" borderId="115" xfId="0" quotePrefix="1" applyNumberFormat="1" applyFont="1" applyBorder="1" applyAlignment="1">
      <alignment horizontal="center"/>
    </xf>
    <xf numFmtId="4" fontId="110" fillId="0" borderId="114" xfId="0" applyNumberFormat="1" applyFont="1" applyFill="1" applyBorder="1" applyAlignment="1"/>
    <xf numFmtId="4" fontId="110" fillId="0" borderId="113" xfId="0" applyNumberFormat="1" applyFont="1" applyFill="1" applyBorder="1" applyAlignment="1">
      <alignment horizontal="center"/>
    </xf>
    <xf numFmtId="4" fontId="106" fillId="0" borderId="113" xfId="0" applyNumberFormat="1" applyFont="1" applyFill="1" applyBorder="1"/>
    <xf numFmtId="4" fontId="108" fillId="0" borderId="113" xfId="0" applyNumberFormat="1" applyFont="1" applyFill="1" applyBorder="1" applyAlignment="1" applyProtection="1"/>
    <xf numFmtId="0" fontId="106" fillId="0" borderId="113" xfId="0" applyNumberFormat="1" applyFont="1" applyFill="1" applyBorder="1" applyAlignment="1" applyProtection="1">
      <alignment horizontal="center"/>
    </xf>
    <xf numFmtId="4" fontId="106" fillId="0" borderId="112" xfId="0" applyNumberFormat="1" applyFont="1" applyFill="1" applyBorder="1"/>
    <xf numFmtId="4" fontId="106" fillId="0" borderId="111" xfId="0" applyNumberFormat="1" applyFont="1" applyFill="1" applyBorder="1"/>
    <xf numFmtId="4" fontId="106" fillId="0" borderId="109" xfId="0" applyNumberFormat="1" applyFont="1" applyFill="1" applyBorder="1"/>
    <xf numFmtId="4" fontId="106" fillId="0" borderId="110" xfId="0" applyNumberFormat="1" applyFont="1" applyFill="1" applyBorder="1"/>
    <xf numFmtId="0" fontId="106" fillId="0" borderId="47" xfId="0" applyNumberFormat="1" applyFont="1" applyFill="1" applyBorder="1" applyAlignment="1" applyProtection="1">
      <alignment horizontal="center"/>
    </xf>
    <xf numFmtId="4" fontId="106" fillId="0" borderId="106" xfId="0" applyNumberFormat="1" applyFont="1" applyFill="1" applyBorder="1" applyAlignment="1">
      <alignment horizontal="center"/>
    </xf>
    <xf numFmtId="4" fontId="106" fillId="0" borderId="105" xfId="0" applyNumberFormat="1" applyFont="1" applyFill="1" applyBorder="1"/>
    <xf numFmtId="4" fontId="108" fillId="0" borderId="105" xfId="0" applyNumberFormat="1" applyFont="1" applyFill="1" applyBorder="1" applyAlignment="1" applyProtection="1"/>
    <xf numFmtId="0" fontId="106" fillId="0" borderId="24" xfId="0" quotePrefix="1" applyNumberFormat="1" applyFont="1" applyFill="1" applyBorder="1" applyAlignment="1" applyProtection="1">
      <alignment horizontal="center"/>
    </xf>
    <xf numFmtId="4" fontId="106" fillId="0" borderId="99" xfId="0" applyNumberFormat="1" applyFont="1" applyBorder="1" applyAlignment="1">
      <alignment horizontal="center"/>
    </xf>
    <xf numFmtId="2" fontId="110" fillId="0" borderId="98" xfId="0" quotePrefix="1" applyNumberFormat="1" applyFont="1" applyBorder="1" applyAlignment="1">
      <alignment horizontal="center"/>
    </xf>
    <xf numFmtId="4" fontId="110" fillId="0" borderId="97" xfId="0" applyNumberFormat="1" applyFont="1" applyFill="1" applyBorder="1" applyAlignment="1"/>
    <xf numFmtId="4" fontId="110" fillId="0" borderId="96" xfId="0" applyNumberFormat="1" applyFont="1" applyFill="1" applyBorder="1" applyAlignment="1">
      <alignment horizontal="center"/>
    </xf>
    <xf numFmtId="4" fontId="106" fillId="0" borderId="95" xfId="0" applyNumberFormat="1" applyFont="1" applyFill="1" applyBorder="1"/>
    <xf numFmtId="4" fontId="108" fillId="0" borderId="95" xfId="0" applyNumberFormat="1" applyFont="1" applyFill="1" applyBorder="1" applyAlignment="1" applyProtection="1"/>
    <xf numFmtId="2" fontId="108" fillId="0" borderId="95" xfId="0" quotePrefix="1" applyNumberFormat="1" applyFont="1" applyFill="1" applyBorder="1" applyAlignment="1" applyProtection="1">
      <alignment horizontal="center"/>
    </xf>
    <xf numFmtId="4" fontId="106" fillId="0" borderId="94" xfId="0" applyNumberFormat="1" applyFont="1" applyFill="1" applyBorder="1"/>
    <xf numFmtId="4" fontId="106" fillId="0" borderId="93" xfId="0" applyNumberFormat="1" applyFont="1" applyFill="1" applyBorder="1"/>
    <xf numFmtId="4" fontId="106" fillId="0" borderId="91" xfId="0" applyNumberFormat="1" applyFont="1" applyFill="1" applyBorder="1"/>
    <xf numFmtId="2" fontId="108" fillId="0" borderId="47" xfId="0" quotePrefix="1" applyNumberFormat="1" applyFont="1" applyFill="1" applyBorder="1" applyAlignment="1" applyProtection="1">
      <alignment horizontal="center"/>
    </xf>
    <xf numFmtId="2" fontId="110" fillId="0" borderId="90" xfId="0" quotePrefix="1" applyNumberFormat="1" applyFont="1" applyBorder="1" applyAlignment="1">
      <alignment horizontal="center"/>
    </xf>
    <xf numFmtId="4" fontId="106" fillId="0" borderId="71" xfId="0" applyNumberFormat="1" applyFont="1" applyFill="1" applyBorder="1"/>
    <xf numFmtId="4" fontId="106" fillId="0" borderId="91" xfId="0" applyNumberFormat="1" applyFont="1" applyBorder="1" applyAlignment="1">
      <alignment horizontal="center"/>
    </xf>
    <xf numFmtId="0" fontId="106" fillId="0" borderId="90" xfId="0" applyNumberFormat="1" applyFont="1" applyBorder="1" applyAlignment="1">
      <alignment horizontal="center"/>
    </xf>
    <xf numFmtId="4" fontId="110" fillId="0" borderId="89" xfId="0" applyNumberFormat="1" applyFont="1" applyFill="1" applyBorder="1" applyAlignment="1"/>
    <xf numFmtId="4" fontId="110" fillId="0" borderId="88" xfId="0" applyNumberFormat="1" applyFont="1" applyFill="1" applyBorder="1" applyAlignment="1">
      <alignment horizontal="center"/>
    </xf>
    <xf numFmtId="4" fontId="106" fillId="0" borderId="87" xfId="0" applyNumberFormat="1" applyFont="1" applyFill="1" applyBorder="1"/>
    <xf numFmtId="4" fontId="108" fillId="0" borderId="87" xfId="0" applyNumberFormat="1" applyFont="1" applyFill="1" applyBorder="1" applyAlignment="1" applyProtection="1"/>
    <xf numFmtId="4" fontId="106" fillId="0" borderId="86" xfId="0" applyNumberFormat="1" applyFont="1" applyFill="1" applyBorder="1"/>
    <xf numFmtId="4" fontId="106" fillId="0" borderId="85" xfId="0" applyNumberFormat="1" applyFont="1" applyFill="1" applyBorder="1"/>
    <xf numFmtId="4" fontId="106" fillId="0" borderId="83" xfId="0" applyNumberFormat="1" applyFont="1" applyFill="1" applyBorder="1"/>
    <xf numFmtId="4" fontId="106" fillId="0" borderId="84" xfId="0" applyNumberFormat="1" applyFont="1" applyFill="1" applyBorder="1"/>
    <xf numFmtId="4" fontId="106" fillId="0" borderId="83" xfId="0" applyNumberFormat="1" applyFont="1" applyBorder="1" applyAlignment="1">
      <alignment horizontal="center"/>
    </xf>
    <xf numFmtId="0" fontId="106" fillId="0" borderId="82" xfId="0" applyNumberFormat="1" applyFont="1" applyBorder="1" applyAlignment="1">
      <alignment horizontal="center"/>
    </xf>
    <xf numFmtId="4" fontId="110" fillId="0" borderId="81" xfId="0" applyNumberFormat="1" applyFont="1" applyFill="1" applyBorder="1" applyAlignment="1"/>
    <xf numFmtId="4" fontId="110" fillId="0" borderId="80" xfId="0" applyNumberFormat="1" applyFont="1" applyFill="1" applyBorder="1" applyAlignment="1">
      <alignment horizontal="center"/>
    </xf>
    <xf numFmtId="4" fontId="106" fillId="0" borderId="79" xfId="0" applyNumberFormat="1" applyFont="1" applyFill="1" applyBorder="1"/>
    <xf numFmtId="4" fontId="108" fillId="0" borderId="79" xfId="0" applyNumberFormat="1" applyFont="1" applyFill="1" applyBorder="1" applyAlignment="1" applyProtection="1"/>
    <xf numFmtId="4" fontId="106" fillId="0" borderId="78" xfId="0" applyNumberFormat="1" applyFont="1" applyFill="1" applyBorder="1"/>
    <xf numFmtId="4" fontId="106" fillId="0" borderId="77" xfId="0" applyNumberFormat="1" applyFont="1" applyFill="1" applyBorder="1"/>
    <xf numFmtId="4" fontId="106" fillId="0" borderId="75" xfId="0" applyNumberFormat="1" applyFont="1" applyFill="1" applyBorder="1"/>
    <xf numFmtId="4" fontId="106" fillId="0" borderId="76" xfId="0" applyNumberFormat="1" applyFont="1" applyFill="1" applyBorder="1"/>
    <xf numFmtId="0" fontId="106" fillId="0" borderId="66" xfId="0" applyNumberFormat="1" applyFont="1" applyBorder="1" applyAlignment="1">
      <alignment horizontal="center"/>
    </xf>
    <xf numFmtId="4" fontId="106" fillId="0" borderId="70" xfId="0" applyNumberFormat="1" applyFont="1" applyFill="1" applyBorder="1"/>
    <xf numFmtId="0" fontId="106" fillId="0" borderId="74" xfId="0" applyNumberFormat="1" applyFont="1" applyBorder="1" applyAlignment="1">
      <alignment horizontal="center"/>
    </xf>
    <xf numFmtId="4" fontId="106" fillId="0" borderId="75" xfId="0" applyNumberFormat="1" applyFont="1" applyBorder="1" applyAlignment="1">
      <alignment horizontal="center"/>
    </xf>
    <xf numFmtId="0" fontId="106" fillId="69" borderId="74" xfId="0" applyNumberFormat="1" applyFont="1" applyFill="1" applyBorder="1" applyAlignment="1">
      <alignment horizontal="center"/>
    </xf>
    <xf numFmtId="4" fontId="110" fillId="0" borderId="73" xfId="0" applyNumberFormat="1" applyFont="1" applyFill="1" applyBorder="1" applyAlignment="1"/>
    <xf numFmtId="4" fontId="110" fillId="0" borderId="72" xfId="0" applyNumberFormat="1" applyFont="1" applyFill="1" applyBorder="1" applyAlignment="1">
      <alignment horizontal="center"/>
    </xf>
    <xf numFmtId="4" fontId="106" fillId="0" borderId="67" xfId="0" applyNumberFormat="1" applyFont="1" applyFill="1" applyBorder="1"/>
    <xf numFmtId="4" fontId="106" fillId="0" borderId="63" xfId="0" applyNumberFormat="1" applyFont="1" applyFill="1" applyBorder="1"/>
    <xf numFmtId="4" fontId="108" fillId="0" borderId="63" xfId="0" applyNumberFormat="1" applyFont="1" applyFill="1" applyBorder="1" applyAlignment="1" applyProtection="1"/>
    <xf numFmtId="2" fontId="106" fillId="0" borderId="41" xfId="0" applyNumberFormat="1" applyFont="1" applyBorder="1" applyAlignment="1">
      <alignment horizontal="center"/>
    </xf>
    <xf numFmtId="2" fontId="110" fillId="0" borderId="47" xfId="0" applyNumberFormat="1" applyFont="1" applyBorder="1" applyAlignment="1">
      <alignment horizontal="center"/>
    </xf>
    <xf numFmtId="2" fontId="109" fillId="0" borderId="57" xfId="0" applyNumberFormat="1" applyFont="1" applyBorder="1" applyAlignment="1">
      <alignment horizontal="center"/>
    </xf>
    <xf numFmtId="2" fontId="109" fillId="0" borderId="54" xfId="0" applyNumberFormat="1" applyFont="1" applyFill="1" applyBorder="1" applyAlignment="1">
      <alignment horizontal="center"/>
    </xf>
    <xf numFmtId="2" fontId="109" fillId="0" borderId="41" xfId="0" quotePrefix="1" applyNumberFormat="1" applyFont="1" applyBorder="1" applyAlignment="1">
      <alignment horizontal="center"/>
    </xf>
    <xf numFmtId="2" fontId="105" fillId="0" borderId="42" xfId="0" applyNumberFormat="1" applyFont="1" applyFill="1" applyBorder="1" applyAlignment="1">
      <alignment horizontal="center"/>
    </xf>
    <xf numFmtId="4" fontId="107" fillId="68" borderId="0" xfId="0" applyNumberFormat="1" applyFont="1" applyFill="1" applyBorder="1" applyAlignment="1"/>
    <xf numFmtId="2" fontId="107" fillId="68" borderId="0" xfId="0" applyNumberFormat="1" applyFont="1" applyFill="1" applyBorder="1" applyAlignment="1"/>
    <xf numFmtId="0" fontId="16" fillId="68" borderId="0" xfId="0" applyFont="1" applyFill="1" applyBorder="1"/>
    <xf numFmtId="2" fontId="107" fillId="68" borderId="38" xfId="0" applyNumberFormat="1" applyFont="1" applyFill="1" applyBorder="1" applyAlignment="1"/>
    <xf numFmtId="2" fontId="106" fillId="68" borderId="0" xfId="0" applyNumberFormat="1" applyFont="1" applyFill="1" applyBorder="1" applyAlignment="1"/>
    <xf numFmtId="2" fontId="106" fillId="68" borderId="40" xfId="0" applyNumberFormat="1" applyFont="1" applyFill="1" applyBorder="1" applyAlignment="1"/>
    <xf numFmtId="2" fontId="105" fillId="67" borderId="39" xfId="0" applyNumberFormat="1" applyFont="1" applyFill="1" applyBorder="1" applyAlignment="1"/>
    <xf numFmtId="2" fontId="105" fillId="67" borderId="24" xfId="0" applyNumberFormat="1" applyFont="1" applyFill="1" applyBorder="1" applyAlignment="1"/>
    <xf numFmtId="2" fontId="105" fillId="67" borderId="0" xfId="0" applyNumberFormat="1" applyFont="1" applyFill="1" applyBorder="1" applyAlignment="1"/>
    <xf numFmtId="2" fontId="107" fillId="67" borderId="38" xfId="0" applyNumberFormat="1" applyFont="1" applyFill="1" applyBorder="1" applyAlignment="1"/>
    <xf numFmtId="0" fontId="0" fillId="68" borderId="37" xfId="0" applyFill="1" applyBorder="1"/>
    <xf numFmtId="0" fontId="106" fillId="68" borderId="36" xfId="0" applyNumberFormat="1" applyFont="1" applyFill="1" applyBorder="1" applyAlignment="1"/>
    <xf numFmtId="0" fontId="106" fillId="68" borderId="35" xfId="0" applyNumberFormat="1" applyFont="1" applyFill="1" applyBorder="1" applyAlignment="1"/>
    <xf numFmtId="2" fontId="107" fillId="68" borderId="37" xfId="0" applyNumberFormat="1" applyFont="1" applyFill="1" applyBorder="1" applyAlignment="1"/>
    <xf numFmtId="4" fontId="107" fillId="68" borderId="36" xfId="0" applyNumberFormat="1" applyFont="1" applyFill="1" applyBorder="1" applyAlignment="1"/>
    <xf numFmtId="2" fontId="107" fillId="68" borderId="36" xfId="0" applyNumberFormat="1" applyFont="1" applyFill="1" applyBorder="1" applyAlignment="1"/>
    <xf numFmtId="2" fontId="106" fillId="68" borderId="36" xfId="0" applyNumberFormat="1" applyFont="1" applyFill="1" applyBorder="1" applyAlignment="1"/>
    <xf numFmtId="2" fontId="106" fillId="68" borderId="37" xfId="0" applyNumberFormat="1" applyFont="1" applyFill="1" applyBorder="1" applyAlignment="1"/>
    <xf numFmtId="2" fontId="105" fillId="67" borderId="37" xfId="0" applyNumberFormat="1" applyFont="1" applyFill="1" applyBorder="1" applyAlignment="1"/>
    <xf numFmtId="2" fontId="105" fillId="67" borderId="36" xfId="0" applyNumberFormat="1" applyFont="1" applyFill="1" applyBorder="1" applyAlignment="1"/>
    <xf numFmtId="2" fontId="105" fillId="67" borderId="35" xfId="0" applyNumberFormat="1" applyFont="1" applyFill="1" applyBorder="1" applyAlignment="1"/>
    <xf numFmtId="0" fontId="0" fillId="0" borderId="0" xfId="0" applyFill="1"/>
    <xf numFmtId="0" fontId="104" fillId="0" borderId="0" xfId="0" applyFont="1"/>
    <xf numFmtId="2" fontId="110" fillId="0" borderId="108" xfId="0" quotePrefix="1" applyNumberFormat="1" applyFont="1" applyBorder="1" applyAlignment="1">
      <alignment horizontal="center"/>
    </xf>
    <xf numFmtId="187" fontId="100" fillId="66" borderId="34" xfId="0" applyNumberFormat="1" applyFont="1" applyFill="1" applyBorder="1"/>
    <xf numFmtId="187" fontId="100" fillId="66" borderId="24" xfId="0" applyNumberFormat="1" applyFont="1" applyFill="1" applyBorder="1"/>
    <xf numFmtId="1" fontId="100" fillId="65" borderId="24" xfId="0" applyNumberFormat="1" applyFont="1" applyFill="1" applyBorder="1"/>
    <xf numFmtId="0" fontId="100" fillId="65" borderId="33" xfId="0" applyFont="1" applyFill="1" applyBorder="1"/>
    <xf numFmtId="0" fontId="100" fillId="66" borderId="32" xfId="0" applyFont="1" applyFill="1" applyBorder="1"/>
    <xf numFmtId="0" fontId="100" fillId="66" borderId="0" xfId="0" applyFont="1" applyFill="1" applyBorder="1"/>
    <xf numFmtId="0" fontId="100" fillId="65" borderId="0" xfId="0" applyFont="1" applyFill="1" applyBorder="1"/>
    <xf numFmtId="187" fontId="103" fillId="66" borderId="32" xfId="0" applyNumberFormat="1" applyFont="1" applyFill="1" applyBorder="1"/>
    <xf numFmtId="187" fontId="103" fillId="66" borderId="0" xfId="0" applyNumberFormat="1" applyFont="1" applyFill="1" applyBorder="1"/>
    <xf numFmtId="187" fontId="103" fillId="65" borderId="0" xfId="0" applyNumberFormat="1" applyFont="1" applyFill="1" applyBorder="1"/>
    <xf numFmtId="0" fontId="103" fillId="65" borderId="31" xfId="0" applyFont="1" applyFill="1" applyBorder="1" applyAlignment="1">
      <alignment horizontal="left" indent="1"/>
    </xf>
    <xf numFmtId="187" fontId="100" fillId="66" borderId="32" xfId="0" applyNumberFormat="1" applyFont="1" applyFill="1" applyBorder="1"/>
    <xf numFmtId="187" fontId="100" fillId="66" borderId="0" xfId="0" applyNumberFormat="1" applyFont="1" applyFill="1" applyBorder="1"/>
    <xf numFmtId="187" fontId="100" fillId="65" borderId="0" xfId="0" applyNumberFormat="1" applyFont="1" applyFill="1" applyBorder="1"/>
    <xf numFmtId="0" fontId="100" fillId="65" borderId="31" xfId="0" applyFont="1" applyFill="1" applyBorder="1"/>
    <xf numFmtId="187" fontId="101" fillId="66" borderId="32" xfId="0" applyNumberFormat="1" applyFont="1" applyFill="1" applyBorder="1"/>
    <xf numFmtId="187" fontId="101" fillId="66" borderId="0" xfId="0" applyNumberFormat="1" applyFont="1" applyFill="1" applyBorder="1"/>
    <xf numFmtId="187" fontId="101" fillId="65" borderId="0" xfId="0" applyNumberFormat="1" applyFont="1" applyFill="1" applyBorder="1"/>
    <xf numFmtId="0" fontId="101" fillId="65" borderId="31" xfId="0" applyFont="1" applyFill="1" applyBorder="1"/>
    <xf numFmtId="0" fontId="101" fillId="66" borderId="22" xfId="0" applyFont="1" applyFill="1" applyBorder="1" applyAlignment="1">
      <alignment horizontal="right"/>
    </xf>
    <xf numFmtId="0" fontId="101" fillId="65" borderId="22" xfId="0" applyFont="1" applyFill="1" applyBorder="1" applyAlignment="1">
      <alignment horizontal="right"/>
    </xf>
    <xf numFmtId="0" fontId="100" fillId="65" borderId="22" xfId="0" applyFont="1" applyFill="1" applyBorder="1"/>
    <xf numFmtId="0" fontId="100" fillId="65" borderId="0" xfId="0" applyFont="1" applyFill="1"/>
    <xf numFmtId="0" fontId="99" fillId="0" borderId="0" xfId="0" applyFont="1"/>
    <xf numFmtId="0" fontId="16" fillId="0" borderId="0" xfId="0" applyFont="1"/>
    <xf numFmtId="2" fontId="108" fillId="68" borderId="38" xfId="0" applyNumberFormat="1" applyFont="1" applyFill="1" applyBorder="1" applyAlignment="1"/>
    <xf numFmtId="0" fontId="0" fillId="68" borderId="40" xfId="0" applyFill="1" applyBorder="1"/>
    <xf numFmtId="2" fontId="105" fillId="0" borderId="22" xfId="0" applyNumberFormat="1" applyFont="1" applyFill="1" applyBorder="1" applyAlignment="1">
      <alignment horizontal="center"/>
    </xf>
    <xf numFmtId="2" fontId="105" fillId="0" borderId="43" xfId="0" applyNumberFormat="1" applyFont="1" applyFill="1" applyBorder="1" applyAlignment="1">
      <alignment horizontal="center"/>
    </xf>
    <xf numFmtId="2" fontId="105" fillId="0" borderId="45" xfId="0" applyNumberFormat="1" applyFont="1" applyFill="1" applyBorder="1" applyAlignment="1">
      <alignment horizontal="center"/>
    </xf>
    <xf numFmtId="2" fontId="109" fillId="0" borderId="47" xfId="0" applyNumberFormat="1" applyFont="1" applyFill="1" applyBorder="1" applyAlignment="1">
      <alignment horizontal="center"/>
    </xf>
    <xf numFmtId="2" fontId="109" fillId="0" borderId="49" xfId="0" applyNumberFormat="1" applyFont="1" applyFill="1" applyBorder="1" applyAlignment="1">
      <alignment horizontal="center"/>
    </xf>
    <xf numFmtId="2" fontId="109" fillId="0" borderId="51" xfId="0" applyNumberFormat="1" applyFont="1" applyFill="1" applyBorder="1" applyAlignment="1">
      <alignment horizontal="center"/>
    </xf>
    <xf numFmtId="0" fontId="105" fillId="0" borderId="52" xfId="0" applyFont="1" applyBorder="1" applyAlignment="1">
      <alignment horizontal="center"/>
    </xf>
    <xf numFmtId="2" fontId="105" fillId="0" borderId="54" xfId="0" applyNumberFormat="1" applyFont="1" applyFill="1" applyBorder="1" applyAlignment="1">
      <alignment horizontal="center"/>
    </xf>
    <xf numFmtId="2" fontId="105" fillId="0" borderId="24" xfId="0" applyNumberFormat="1" applyFont="1" applyFill="1" applyBorder="1" applyAlignment="1">
      <alignment horizontal="center"/>
    </xf>
    <xf numFmtId="2" fontId="109" fillId="0" borderId="55" xfId="0" applyNumberFormat="1" applyFont="1" applyFill="1" applyBorder="1" applyAlignment="1">
      <alignment horizontal="center"/>
    </xf>
    <xf numFmtId="2" fontId="109" fillId="0" borderId="56" xfId="0" applyNumberFormat="1" applyFont="1" applyFill="1" applyBorder="1" applyAlignment="1">
      <alignment horizontal="center"/>
    </xf>
    <xf numFmtId="2" fontId="106" fillId="0" borderId="57" xfId="0" applyNumberFormat="1" applyFont="1" applyBorder="1" applyAlignment="1">
      <alignment horizontal="center"/>
    </xf>
    <xf numFmtId="4" fontId="106" fillId="0" borderId="22" xfId="0" applyNumberFormat="1" applyFont="1" applyFill="1" applyBorder="1"/>
    <xf numFmtId="4" fontId="106" fillId="0" borderId="52" xfId="0" applyNumberFormat="1" applyFont="1" applyFill="1" applyBorder="1"/>
    <xf numFmtId="4" fontId="106" fillId="0" borderId="62" xfId="0" applyNumberFormat="1" applyFont="1" applyFill="1" applyBorder="1"/>
    <xf numFmtId="4" fontId="110" fillId="0" borderId="65" xfId="0" applyNumberFormat="1" applyFont="1" applyFill="1" applyBorder="1" applyAlignment="1"/>
    <xf numFmtId="4" fontId="106" fillId="0" borderId="47" xfId="0" applyNumberFormat="1" applyFont="1" applyFill="1" applyBorder="1" applyAlignment="1">
      <alignment horizontal="center"/>
    </xf>
    <xf numFmtId="0" fontId="106" fillId="69" borderId="66" xfId="0" applyNumberFormat="1" applyFont="1" applyFill="1" applyBorder="1" applyAlignment="1">
      <alignment horizontal="center"/>
    </xf>
    <xf numFmtId="4" fontId="106" fillId="0" borderId="47" xfId="3840" applyNumberFormat="1" applyFont="1" applyFill="1" applyBorder="1"/>
    <xf numFmtId="4" fontId="106" fillId="0" borderId="68" xfId="0" applyNumberFormat="1" applyFont="1" applyFill="1" applyBorder="1"/>
    <xf numFmtId="4" fontId="106" fillId="70" borderId="70" xfId="0" applyNumberFormat="1" applyFont="1" applyFill="1" applyBorder="1"/>
    <xf numFmtId="4" fontId="109" fillId="0" borderId="50" xfId="0" applyNumberFormat="1" applyFont="1" applyFill="1" applyBorder="1" applyAlignment="1">
      <alignment horizontal="center"/>
    </xf>
    <xf numFmtId="2" fontId="109" fillId="0" borderId="48" xfId="0" applyNumberFormat="1" applyFont="1" applyFill="1" applyBorder="1" applyAlignment="1">
      <alignment horizontal="center"/>
    </xf>
    <xf numFmtId="2" fontId="109" fillId="0" borderId="46" xfId="0" applyNumberFormat="1" applyFont="1" applyFill="1" applyBorder="1" applyAlignment="1">
      <alignment horizontal="center"/>
    </xf>
    <xf numFmtId="2" fontId="106" fillId="0" borderId="44" xfId="0" applyNumberFormat="1" applyFont="1" applyFill="1" applyBorder="1" applyAlignment="1">
      <alignment horizontal="center"/>
    </xf>
    <xf numFmtId="2" fontId="105" fillId="0" borderId="29" xfId="0" applyNumberFormat="1" applyFont="1" applyFill="1" applyBorder="1" applyAlignment="1">
      <alignment horizontal="center"/>
    </xf>
    <xf numFmtId="4" fontId="105" fillId="0" borderId="41" xfId="0" applyNumberFormat="1" applyFont="1" applyFill="1" applyBorder="1" applyAlignment="1">
      <alignment horizontal="center"/>
    </xf>
    <xf numFmtId="2" fontId="108" fillId="68" borderId="0" xfId="0" applyNumberFormat="1" applyFont="1" applyFill="1" applyBorder="1" applyAlignment="1"/>
    <xf numFmtId="2" fontId="107" fillId="68" borderId="40" xfId="0" applyNumberFormat="1" applyFont="1" applyFill="1" applyBorder="1" applyAlignment="1"/>
    <xf numFmtId="2" fontId="109" fillId="0" borderId="38" xfId="0" applyNumberFormat="1" applyFont="1" applyFill="1" applyBorder="1" applyAlignment="1">
      <alignment horizontal="center"/>
    </xf>
    <xf numFmtId="4" fontId="108" fillId="0" borderId="71" xfId="0" applyNumberFormat="1" applyFont="1" applyFill="1" applyBorder="1" applyAlignment="1" applyProtection="1"/>
    <xf numFmtId="4" fontId="106" fillId="0" borderId="69" xfId="0" applyNumberFormat="1" applyFont="1" applyFill="1" applyBorder="1"/>
    <xf numFmtId="4" fontId="106" fillId="0" borderId="47" xfId="0" applyNumberFormat="1" applyFont="1" applyFill="1" applyBorder="1"/>
    <xf numFmtId="0" fontId="106" fillId="0" borderId="59" xfId="0" applyNumberFormat="1" applyFont="1" applyFill="1" applyBorder="1" applyAlignment="1" applyProtection="1">
      <alignment horizontal="center"/>
    </xf>
    <xf numFmtId="4" fontId="106" fillId="0" borderId="67" xfId="0" applyNumberFormat="1" applyFont="1" applyBorder="1" applyAlignment="1">
      <alignment horizontal="center"/>
    </xf>
    <xf numFmtId="2" fontId="106" fillId="0" borderId="66" xfId="0" applyNumberFormat="1" applyFont="1" applyBorder="1" applyAlignment="1">
      <alignment horizontal="center"/>
    </xf>
    <xf numFmtId="4" fontId="110" fillId="0" borderId="64" xfId="0" applyNumberFormat="1" applyFont="1" applyFill="1" applyBorder="1" applyAlignment="1">
      <alignment horizontal="center"/>
    </xf>
    <xf numFmtId="4" fontId="106" fillId="0" borderId="61" xfId="0" applyNumberFormat="1" applyFont="1" applyFill="1" applyBorder="1"/>
    <xf numFmtId="4" fontId="106" fillId="0" borderId="60" xfId="0" applyNumberFormat="1" applyFont="1" applyFill="1" applyBorder="1"/>
    <xf numFmtId="4" fontId="106" fillId="0" borderId="22" xfId="3840" applyNumberFormat="1" applyFont="1" applyFill="1" applyBorder="1"/>
    <xf numFmtId="2" fontId="106" fillId="0" borderId="59" xfId="0" applyNumberFormat="1" applyFont="1" applyFill="1" applyBorder="1" applyAlignment="1" applyProtection="1">
      <alignment horizontal="center"/>
    </xf>
    <xf numFmtId="0" fontId="0" fillId="0" borderId="58" xfId="0" applyBorder="1"/>
    <xf numFmtId="2" fontId="109" fillId="0" borderId="0" xfId="0" applyNumberFormat="1" applyFont="1" applyFill="1" applyBorder="1" applyAlignment="1">
      <alignment horizontal="center"/>
    </xf>
    <xf numFmtId="2" fontId="105" fillId="0" borderId="40" xfId="0" applyNumberFormat="1" applyFont="1" applyFill="1" applyBorder="1" applyAlignment="1">
      <alignment horizontal="center"/>
    </xf>
    <xf numFmtId="2" fontId="105" fillId="0" borderId="53" xfId="0" applyNumberFormat="1" applyFont="1" applyFill="1" applyBorder="1" applyAlignment="1">
      <alignment horizontal="center"/>
    </xf>
    <xf numFmtId="2" fontId="109" fillId="0" borderId="22" xfId="0" applyNumberFormat="1" applyFont="1" applyBorder="1" applyAlignment="1">
      <alignment horizontal="center"/>
    </xf>
    <xf numFmtId="4" fontId="110" fillId="0" borderId="107" xfId="0" applyNumberFormat="1" applyFont="1" applyFill="1" applyBorder="1" applyAlignment="1"/>
    <xf numFmtId="0" fontId="106" fillId="0" borderId="104" xfId="0" quotePrefix="1" applyNumberFormat="1" applyFont="1" applyFill="1" applyBorder="1" applyAlignment="1" applyProtection="1">
      <alignment horizontal="center"/>
    </xf>
    <xf numFmtId="4" fontId="106" fillId="0" borderId="103" xfId="0" applyNumberFormat="1" applyFont="1" applyFill="1" applyBorder="1"/>
    <xf numFmtId="4" fontId="106" fillId="0" borderId="102" xfId="0" applyNumberFormat="1" applyFont="1" applyFill="1" applyBorder="1"/>
    <xf numFmtId="4" fontId="106" fillId="0" borderId="99" xfId="0" applyNumberFormat="1" applyFont="1" applyFill="1" applyBorder="1"/>
    <xf numFmtId="4" fontId="106" fillId="0" borderId="101" xfId="0" applyNumberFormat="1" applyFont="1" applyFill="1" applyBorder="1"/>
    <xf numFmtId="0" fontId="106" fillId="0" borderId="100" xfId="0" quotePrefix="1" applyNumberFormat="1" applyFont="1" applyFill="1" applyBorder="1" applyAlignment="1" applyProtection="1">
      <alignment horizontal="center"/>
    </xf>
    <xf numFmtId="0" fontId="106" fillId="0" borderId="24" xfId="0" applyNumberFormat="1" applyFont="1" applyFill="1" applyBorder="1" applyAlignment="1" applyProtection="1">
      <alignment horizontal="center"/>
    </xf>
    <xf numFmtId="4" fontId="106" fillId="0" borderId="96" xfId="0" applyNumberFormat="1" applyFont="1" applyFill="1" applyBorder="1" applyAlignment="1">
      <alignment horizontal="center"/>
    </xf>
    <xf numFmtId="2" fontId="110" fillId="69" borderId="90" xfId="0" quotePrefix="1" applyNumberFormat="1" applyFont="1" applyFill="1" applyBorder="1" applyAlignment="1">
      <alignment horizontal="center"/>
    </xf>
    <xf numFmtId="4" fontId="106" fillId="70" borderId="94" xfId="0" applyNumberFormat="1" applyFont="1" applyFill="1" applyBorder="1"/>
    <xf numFmtId="0" fontId="1" fillId="65" borderId="0" xfId="3842" applyFill="1"/>
    <xf numFmtId="187" fontId="62" fillId="65" borderId="198" xfId="3841" applyNumberFormat="1" applyFont="1" applyFill="1" applyBorder="1"/>
    <xf numFmtId="169" fontId="62" fillId="65" borderId="31" xfId="3841" applyFont="1" applyFill="1" applyBorder="1"/>
    <xf numFmtId="187" fontId="62" fillId="65" borderId="197" xfId="3841" applyNumberFormat="1" applyFont="1" applyFill="1" applyBorder="1"/>
    <xf numFmtId="187" fontId="62" fillId="65" borderId="192" xfId="3841" applyNumberFormat="1" applyFont="1" applyFill="1" applyBorder="1" applyAlignment="1">
      <alignment horizontal="right"/>
    </xf>
    <xf numFmtId="169" fontId="62" fillId="65" borderId="192" xfId="3841" applyFont="1" applyFill="1" applyBorder="1" applyAlignment="1">
      <alignment horizontal="right"/>
    </xf>
    <xf numFmtId="169" fontId="62" fillId="65" borderId="197" xfId="3841" applyFont="1" applyFill="1" applyBorder="1"/>
    <xf numFmtId="187" fontId="118" fillId="65" borderId="31" xfId="3841" applyNumberFormat="1" applyFont="1" applyFill="1" applyBorder="1"/>
    <xf numFmtId="0" fontId="117" fillId="0" borderId="0" xfId="3842" applyFont="1"/>
    <xf numFmtId="187" fontId="116" fillId="65" borderId="31" xfId="3841" applyNumberFormat="1" applyFont="1" applyFill="1" applyBorder="1" applyAlignment="1">
      <alignment horizontal="right"/>
    </xf>
    <xf numFmtId="187" fontId="116" fillId="65" borderId="0" xfId="3841" applyNumberFormat="1" applyFont="1" applyFill="1" applyBorder="1" applyAlignment="1">
      <alignment horizontal="right"/>
    </xf>
    <xf numFmtId="169" fontId="116" fillId="65" borderId="31" xfId="3841" applyFont="1" applyFill="1" applyBorder="1"/>
    <xf numFmtId="187" fontId="116" fillId="65" borderId="32" xfId="3841" applyNumberFormat="1" applyFont="1" applyFill="1" applyBorder="1"/>
    <xf numFmtId="187" fontId="114" fillId="65" borderId="31" xfId="3841" applyNumberFormat="1" applyFont="1" applyFill="1" applyBorder="1"/>
    <xf numFmtId="187" fontId="114" fillId="65" borderId="0" xfId="3841" applyNumberFormat="1" applyFont="1" applyFill="1" applyBorder="1" applyAlignment="1">
      <alignment horizontal="right"/>
    </xf>
    <xf numFmtId="169" fontId="114" fillId="65" borderId="0" xfId="3841" applyFont="1" applyFill="1" applyBorder="1" applyAlignment="1">
      <alignment horizontal="right"/>
    </xf>
    <xf numFmtId="169" fontId="114" fillId="65" borderId="31" xfId="3841" applyFont="1" applyFill="1" applyBorder="1"/>
    <xf numFmtId="169" fontId="62" fillId="65" borderId="31" xfId="3841" applyFont="1" applyFill="1" applyBorder="1" applyAlignment="1">
      <alignment wrapText="1"/>
    </xf>
    <xf numFmtId="169" fontId="62" fillId="65" borderId="0" xfId="3841" applyFont="1" applyFill="1" applyBorder="1" applyAlignment="1">
      <alignment horizontal="right"/>
    </xf>
    <xf numFmtId="187" fontId="115" fillId="65" borderId="196" xfId="3841" applyNumberFormat="1" applyFont="1" applyFill="1" applyBorder="1"/>
    <xf numFmtId="187" fontId="115" fillId="65" borderId="167" xfId="3841" applyNumberFormat="1" applyFont="1" applyFill="1" applyBorder="1"/>
    <xf numFmtId="187" fontId="115" fillId="65" borderId="189" xfId="3841" applyNumberFormat="1" applyFont="1" applyFill="1" applyBorder="1" applyAlignment="1">
      <alignment horizontal="right"/>
    </xf>
    <xf numFmtId="169" fontId="115" fillId="65" borderId="167" xfId="3841" applyFont="1" applyFill="1" applyBorder="1"/>
    <xf numFmtId="169" fontId="115" fillId="73" borderId="47" xfId="3841" applyFont="1" applyFill="1" applyBorder="1" applyAlignment="1">
      <alignment horizontal="right"/>
    </xf>
    <xf numFmtId="169" fontId="115" fillId="73" borderId="117" xfId="3841" applyFont="1" applyFill="1" applyBorder="1" applyAlignment="1">
      <alignment horizontal="right"/>
    </xf>
    <xf numFmtId="169" fontId="114" fillId="73" borderId="117" xfId="3841" applyFont="1" applyFill="1" applyBorder="1"/>
    <xf numFmtId="169" fontId="112" fillId="72" borderId="195" xfId="3841" applyFont="1" applyFill="1" applyBorder="1" applyAlignment="1">
      <alignment horizontal="right"/>
    </xf>
    <xf numFmtId="0" fontId="1" fillId="72" borderId="0" xfId="3842" applyFill="1"/>
    <xf numFmtId="0" fontId="0" fillId="0" borderId="0" xfId="0"/>
    <xf numFmtId="187" fontId="0" fillId="0" borderId="0" xfId="0" applyNumberFormat="1"/>
    <xf numFmtId="0" fontId="129" fillId="0" borderId="0" xfId="130" applyFont="1" applyFill="1"/>
    <xf numFmtId="0" fontId="130" fillId="0" borderId="0" xfId="130" applyFont="1" applyFill="1"/>
    <xf numFmtId="0" fontId="129" fillId="71" borderId="0" xfId="130" applyFont="1" applyFill="1"/>
    <xf numFmtId="0" fontId="129" fillId="75" borderId="0" xfId="130" applyFont="1" applyFill="1"/>
    <xf numFmtId="197" fontId="129" fillId="0" borderId="0" xfId="130" applyNumberFormat="1" applyFont="1" applyFill="1"/>
    <xf numFmtId="197" fontId="129" fillId="71" borderId="0" xfId="130" applyNumberFormat="1" applyFont="1" applyFill="1"/>
    <xf numFmtId="197" fontId="129" fillId="75" borderId="0" xfId="130" applyNumberFormat="1" applyFont="1" applyFill="1"/>
    <xf numFmtId="0" fontId="129" fillId="0" borderId="0" xfId="130" applyNumberFormat="1" applyFont="1" applyFill="1"/>
    <xf numFmtId="0" fontId="130" fillId="0" borderId="0" xfId="130" applyNumberFormat="1" applyFont="1" applyFill="1"/>
    <xf numFmtId="0" fontId="129" fillId="71" borderId="0" xfId="130" applyNumberFormat="1" applyFont="1" applyFill="1"/>
    <xf numFmtId="0" fontId="129" fillId="75" borderId="0" xfId="130" applyNumberFormat="1" applyFont="1" applyFill="1"/>
    <xf numFmtId="197" fontId="129" fillId="0" borderId="0" xfId="130" applyNumberFormat="1" applyFont="1" applyFill="1" applyAlignment="1">
      <alignment horizontal="right"/>
    </xf>
    <xf numFmtId="197" fontId="129" fillId="71" borderId="0" xfId="130" applyNumberFormat="1" applyFont="1" applyFill="1" applyAlignment="1">
      <alignment horizontal="right"/>
    </xf>
    <xf numFmtId="197" fontId="129" fillId="75" borderId="0" xfId="130" applyNumberFormat="1" applyFont="1" applyFill="1" applyAlignment="1">
      <alignment horizontal="right"/>
    </xf>
    <xf numFmtId="0" fontId="131" fillId="0" borderId="0" xfId="130" applyFont="1" applyFill="1"/>
    <xf numFmtId="0" fontId="132" fillId="0" borderId="0" xfId="130" applyFont="1" applyFill="1"/>
    <xf numFmtId="197" fontId="131" fillId="0" borderId="0" xfId="130" applyNumberFormat="1" applyFont="1" applyFill="1"/>
    <xf numFmtId="197" fontId="131" fillId="0" borderId="0" xfId="130" applyNumberFormat="1" applyFont="1" applyFill="1" applyAlignment="1">
      <alignment horizontal="right"/>
    </xf>
    <xf numFmtId="197" fontId="131" fillId="71" borderId="0" xfId="130" applyNumberFormat="1" applyFont="1" applyFill="1" applyAlignment="1">
      <alignment horizontal="right"/>
    </xf>
    <xf numFmtId="197" fontId="131" fillId="75" borderId="0" xfId="130" applyNumberFormat="1" applyFont="1" applyFill="1" applyAlignment="1">
      <alignment horizontal="right"/>
    </xf>
    <xf numFmtId="0" fontId="86" fillId="0" borderId="0" xfId="130" applyFont="1" applyFill="1"/>
    <xf numFmtId="0" fontId="133" fillId="0" borderId="0" xfId="130" applyFont="1" applyFill="1"/>
    <xf numFmtId="0" fontId="129" fillId="0" borderId="0" xfId="130" applyFont="1" applyFill="1" applyAlignment="1">
      <alignment horizontal="left" indent="4"/>
    </xf>
    <xf numFmtId="0" fontId="131" fillId="0" borderId="205" xfId="130" applyFont="1" applyFill="1" applyBorder="1" applyAlignment="1">
      <alignment horizontal="right"/>
    </xf>
    <xf numFmtId="0" fontId="131" fillId="71" borderId="205" xfId="130" applyFont="1" applyFill="1" applyBorder="1" applyAlignment="1">
      <alignment horizontal="right"/>
    </xf>
    <xf numFmtId="0" fontId="131" fillId="75" borderId="205" xfId="130" applyFont="1" applyFill="1" applyBorder="1" applyAlignment="1">
      <alignment horizontal="right"/>
    </xf>
    <xf numFmtId="0" fontId="131" fillId="75" borderId="206" xfId="130" applyFont="1" applyFill="1" applyBorder="1" applyAlignment="1">
      <alignment horizontal="right"/>
    </xf>
    <xf numFmtId="0" fontId="131" fillId="0" borderId="206" xfId="130" applyFont="1" applyFill="1" applyBorder="1" applyAlignment="1">
      <alignment horizontal="right"/>
    </xf>
    <xf numFmtId="0" fontId="62" fillId="0" borderId="0" xfId="130"/>
    <xf numFmtId="197" fontId="134" fillId="71" borderId="0" xfId="130" applyNumberFormat="1" applyFont="1" applyFill="1" applyAlignment="1">
      <alignment horizontal="right"/>
    </xf>
    <xf numFmtId="197" fontId="134" fillId="75" borderId="0" xfId="130" applyNumberFormat="1" applyFont="1" applyFill="1" applyAlignment="1">
      <alignment horizontal="right"/>
    </xf>
    <xf numFmtId="197" fontId="134" fillId="0" borderId="0" xfId="130" applyNumberFormat="1" applyFont="1" applyFill="1" applyAlignment="1">
      <alignment horizontal="right"/>
    </xf>
    <xf numFmtId="197" fontId="135" fillId="71" borderId="0" xfId="130" applyNumberFormat="1" applyFont="1" applyFill="1" applyAlignment="1">
      <alignment horizontal="right"/>
    </xf>
    <xf numFmtId="197" fontId="135" fillId="75" borderId="0" xfId="130" applyNumberFormat="1" applyFont="1" applyFill="1" applyAlignment="1">
      <alignment horizontal="right"/>
    </xf>
    <xf numFmtId="197" fontId="135" fillId="0" borderId="0" xfId="130" applyNumberFormat="1" applyFont="1" applyFill="1" applyAlignment="1">
      <alignment horizontal="right"/>
    </xf>
    <xf numFmtId="197" fontId="131" fillId="71" borderId="0" xfId="130" applyNumberFormat="1" applyFont="1" applyFill="1" applyAlignment="1">
      <alignment horizontal="center"/>
    </xf>
    <xf numFmtId="197" fontId="131" fillId="75" borderId="27" xfId="130" applyNumberFormat="1" applyFont="1" applyFill="1" applyBorder="1" applyAlignment="1"/>
    <xf numFmtId="197" fontId="131" fillId="75" borderId="0" xfId="130" applyNumberFormat="1" applyFont="1" applyFill="1" applyAlignment="1">
      <alignment horizontal="center"/>
    </xf>
    <xf numFmtId="197" fontId="129" fillId="71" borderId="0" xfId="130" applyNumberFormat="1" applyFont="1" applyFill="1" applyAlignment="1">
      <alignment horizontal="center"/>
    </xf>
    <xf numFmtId="197" fontId="129" fillId="75" borderId="0" xfId="130" applyNumberFormat="1" applyFont="1" applyFill="1" applyAlignment="1">
      <alignment horizontal="center"/>
    </xf>
    <xf numFmtId="0" fontId="1" fillId="0" borderId="0" xfId="3842" applyFont="1" applyAlignment="1"/>
    <xf numFmtId="187" fontId="1" fillId="0" borderId="0" xfId="3842" applyNumberFormat="1" applyFont="1" applyAlignment="1"/>
    <xf numFmtId="197" fontId="1" fillId="0" borderId="0" xfId="3842" applyNumberFormat="1" applyFont="1" applyAlignment="1"/>
    <xf numFmtId="187" fontId="127" fillId="0" borderId="0" xfId="3842" applyNumberFormat="1" applyFont="1" applyAlignment="1"/>
    <xf numFmtId="0" fontId="111" fillId="0" borderId="0" xfId="3842" applyFont="1" applyAlignment="1"/>
    <xf numFmtId="0" fontId="16" fillId="0" borderId="0" xfId="3842" applyFont="1" applyAlignment="1"/>
    <xf numFmtId="0" fontId="136" fillId="0" borderId="0" xfId="3842" applyFont="1" applyAlignment="1"/>
    <xf numFmtId="168" fontId="129" fillId="0" borderId="0" xfId="1" applyNumberFormat="1" applyFont="1" applyFill="1"/>
    <xf numFmtId="168" fontId="129" fillId="75" borderId="0" xfId="1" applyNumberFormat="1" applyFont="1" applyFill="1" applyAlignment="1">
      <alignment horizontal="right"/>
    </xf>
    <xf numFmtId="168" fontId="129" fillId="71" borderId="0" xfId="1" applyNumberFormat="1" applyFont="1" applyFill="1" applyAlignment="1">
      <alignment horizontal="right"/>
    </xf>
    <xf numFmtId="168" fontId="129" fillId="0" borderId="0" xfId="1" applyNumberFormat="1" applyFont="1" applyFill="1" applyAlignment="1">
      <alignment horizontal="right"/>
    </xf>
    <xf numFmtId="0" fontId="137" fillId="0" borderId="0" xfId="3842" applyFont="1" applyAlignment="1"/>
    <xf numFmtId="0" fontId="101" fillId="0" borderId="0" xfId="3842" applyFont="1" applyAlignment="1"/>
    <xf numFmtId="0" fontId="100" fillId="0" borderId="0" xfId="3842" applyFont="1" applyAlignment="1"/>
    <xf numFmtId="187" fontId="100" fillId="0" borderId="0" xfId="3842" applyNumberFormat="1" applyFont="1" applyAlignment="1"/>
    <xf numFmtId="197" fontId="131" fillId="75" borderId="0" xfId="130" applyNumberFormat="1" applyFont="1" applyFill="1" applyBorder="1" applyAlignment="1"/>
    <xf numFmtId="0" fontId="79" fillId="0" borderId="24" xfId="0" applyFont="1" applyBorder="1" applyAlignment="1">
      <alignment horizontal="center"/>
    </xf>
    <xf numFmtId="0" fontId="101" fillId="65" borderId="25" xfId="0" applyFont="1" applyFill="1" applyBorder="1" applyAlignment="1">
      <alignment horizontal="center"/>
    </xf>
    <xf numFmtId="0" fontId="101" fillId="65" borderId="29" xfId="0" applyFont="1" applyFill="1" applyBorder="1" applyAlignment="1">
      <alignment horizontal="center"/>
    </xf>
    <xf numFmtId="0" fontId="101" fillId="65" borderId="30" xfId="0" applyFont="1" applyFill="1" applyBorder="1" applyAlignment="1">
      <alignment horizontal="center"/>
    </xf>
    <xf numFmtId="169" fontId="112" fillId="72" borderId="199" xfId="3841" applyFont="1" applyFill="1" applyBorder="1" applyAlignment="1">
      <alignment horizontal="center"/>
    </xf>
    <xf numFmtId="169" fontId="112" fillId="72" borderId="200" xfId="3841" applyFont="1" applyFill="1" applyBorder="1" applyAlignment="1">
      <alignment horizontal="center"/>
    </xf>
    <xf numFmtId="0" fontId="0" fillId="0" borderId="0" xfId="0"/>
    <xf numFmtId="196" fontId="81" fillId="63" borderId="167" xfId="3480" applyFont="1" applyFill="1" applyBorder="1" applyAlignment="1">
      <alignment horizontal="center" vertical="center"/>
    </xf>
    <xf numFmtId="196" fontId="81" fillId="63" borderId="196" xfId="3480" applyFont="1" applyFill="1" applyBorder="1" applyAlignment="1">
      <alignment horizontal="center" vertical="center"/>
    </xf>
    <xf numFmtId="167" fontId="81" fillId="63" borderId="100" xfId="3480" applyNumberFormat="1" applyFont="1" applyFill="1" applyBorder="1" applyAlignment="1">
      <alignment horizontal="center" vertical="center"/>
    </xf>
    <xf numFmtId="167" fontId="81" fillId="63" borderId="19" xfId="3480" applyNumberFormat="1" applyFont="1" applyFill="1" applyBorder="1" applyAlignment="1">
      <alignment horizontal="center" vertical="center"/>
    </xf>
    <xf numFmtId="167" fontId="81" fillId="63" borderId="55" xfId="3480" applyNumberFormat="1" applyFont="1" applyFill="1" applyBorder="1" applyAlignment="1">
      <alignment horizontal="center" vertical="center"/>
    </xf>
  </cellXfs>
  <cellStyles count="3869">
    <cellStyle name="=C:\WINNT35\SYSTEM32\COMMAND.COM" xfId="241"/>
    <cellStyle name="=C:\WINNT35\SYSTEM32\COMMAND.COM 2" xfId="299"/>
    <cellStyle name="=C:\WINNT35\SYSTEM32\COMMAND.COM 3" xfId="306"/>
    <cellStyle name="1" xfId="3458"/>
    <cellStyle name="1 indent" xfId="87"/>
    <cellStyle name="2 indents" xfId="88"/>
    <cellStyle name="20% - Accent1" xfId="20" builtinId="30" customBuiltin="1"/>
    <cellStyle name="20% - Accent1 10" xfId="373"/>
    <cellStyle name="20% - Accent1 10 2" xfId="372"/>
    <cellStyle name="20% - Accent1 10 3" xfId="376"/>
    <cellStyle name="20% - Accent1 10 4" xfId="377"/>
    <cellStyle name="20% - Accent1 10 5" xfId="378"/>
    <cellStyle name="20% - Accent1 10 6" xfId="379"/>
    <cellStyle name="20% - Accent1 11" xfId="380"/>
    <cellStyle name="20% - Accent1 11 2" xfId="381"/>
    <cellStyle name="20% - Accent1 11 3" xfId="382"/>
    <cellStyle name="20% - Accent1 11 4" xfId="383"/>
    <cellStyle name="20% - Accent1 11 5" xfId="384"/>
    <cellStyle name="20% - Accent1 11 6" xfId="385"/>
    <cellStyle name="20% - Accent1 12" xfId="386"/>
    <cellStyle name="20% - Accent1 12 2" xfId="387"/>
    <cellStyle name="20% - Accent1 12 3" xfId="388"/>
    <cellStyle name="20% - Accent1 12 4" xfId="389"/>
    <cellStyle name="20% - Accent1 12 5" xfId="390"/>
    <cellStyle name="20% - Accent1 12 6" xfId="391"/>
    <cellStyle name="20% - Accent1 13" xfId="392"/>
    <cellStyle name="20% - Accent1 13 2" xfId="393"/>
    <cellStyle name="20% - Accent1 13 3" xfId="394"/>
    <cellStyle name="20% - Accent1 13 4" xfId="395"/>
    <cellStyle name="20% - Accent1 13 5" xfId="396"/>
    <cellStyle name="20% - Accent1 13 6" xfId="397"/>
    <cellStyle name="20% - Accent1 14" xfId="398"/>
    <cellStyle name="20% - Accent1 14 2" xfId="399"/>
    <cellStyle name="20% - Accent1 14 3" xfId="400"/>
    <cellStyle name="20% - Accent1 14 4" xfId="401"/>
    <cellStyle name="20% - Accent1 14 5" xfId="402"/>
    <cellStyle name="20% - Accent1 14 6" xfId="403"/>
    <cellStyle name="20% - Accent1 15" xfId="404"/>
    <cellStyle name="20% - Accent1 15 2" xfId="405"/>
    <cellStyle name="20% - Accent1 15 3" xfId="406"/>
    <cellStyle name="20% - Accent1 15 4" xfId="407"/>
    <cellStyle name="20% - Accent1 15 5" xfId="408"/>
    <cellStyle name="20% - Accent1 15 6" xfId="409"/>
    <cellStyle name="20% - Accent1 16" xfId="410"/>
    <cellStyle name="20% - Accent1 16 2" xfId="411"/>
    <cellStyle name="20% - Accent1 16 3" xfId="412"/>
    <cellStyle name="20% - Accent1 16 4" xfId="413"/>
    <cellStyle name="20% - Accent1 16 5" xfId="414"/>
    <cellStyle name="20% - Accent1 16 6" xfId="415"/>
    <cellStyle name="20% - Accent1 17" xfId="416"/>
    <cellStyle name="20% - Accent1 17 2" xfId="417"/>
    <cellStyle name="20% - Accent1 17 3" xfId="418"/>
    <cellStyle name="20% - Accent1 17 4" xfId="419"/>
    <cellStyle name="20% - Accent1 17 5" xfId="420"/>
    <cellStyle name="20% - Accent1 17 6" xfId="421"/>
    <cellStyle name="20% - Accent1 18" xfId="422"/>
    <cellStyle name="20% - Accent1 18 2" xfId="423"/>
    <cellStyle name="20% - Accent1 18 3" xfId="424"/>
    <cellStyle name="20% - Accent1 18 4" xfId="425"/>
    <cellStyle name="20% - Accent1 18 5" xfId="426"/>
    <cellStyle name="20% - Accent1 18 6" xfId="427"/>
    <cellStyle name="20% - Accent1 19" xfId="428"/>
    <cellStyle name="20% - Accent1 19 2" xfId="429"/>
    <cellStyle name="20% - Accent1 19 3" xfId="430"/>
    <cellStyle name="20% - Accent1 19 4" xfId="431"/>
    <cellStyle name="20% - Accent1 19 5" xfId="432"/>
    <cellStyle name="20% - Accent1 19 6" xfId="433"/>
    <cellStyle name="20% - Accent1 2" xfId="51"/>
    <cellStyle name="20% - Accent1 2 10" xfId="434"/>
    <cellStyle name="20% - Accent1 2 11" xfId="435"/>
    <cellStyle name="20% - Accent1 2 12" xfId="436"/>
    <cellStyle name="20% - Accent1 2 13" xfId="437"/>
    <cellStyle name="20% - Accent1 2 14" xfId="438"/>
    <cellStyle name="20% - Accent1 2 15" xfId="439"/>
    <cellStyle name="20% - Accent1 2 16" xfId="440"/>
    <cellStyle name="20% - Accent1 2 17" xfId="441"/>
    <cellStyle name="20% - Accent1 2 18" xfId="442"/>
    <cellStyle name="20% - Accent1 2 2" xfId="307"/>
    <cellStyle name="20% - Accent1 2 2 2" xfId="443"/>
    <cellStyle name="20% - Accent1 2 3" xfId="444"/>
    <cellStyle name="20% - Accent1 2 4" xfId="445"/>
    <cellStyle name="20% - Accent1 2 5" xfId="446"/>
    <cellStyle name="20% - Accent1 2 6" xfId="447"/>
    <cellStyle name="20% - Accent1 2 7" xfId="448"/>
    <cellStyle name="20% - Accent1 2 8" xfId="449"/>
    <cellStyle name="20% - Accent1 2 9" xfId="450"/>
    <cellStyle name="20% - Accent1 20" xfId="451"/>
    <cellStyle name="20% - Accent1 20 2" xfId="452"/>
    <cellStyle name="20% - Accent1 20 3" xfId="453"/>
    <cellStyle name="20% - Accent1 20 4" xfId="454"/>
    <cellStyle name="20% - Accent1 20 5" xfId="455"/>
    <cellStyle name="20% - Accent1 20 6" xfId="456"/>
    <cellStyle name="20% - Accent1 21" xfId="457"/>
    <cellStyle name="20% - Accent1 21 2" xfId="458"/>
    <cellStyle name="20% - Accent1 21 3" xfId="459"/>
    <cellStyle name="20% - Accent1 21 4" xfId="460"/>
    <cellStyle name="20% - Accent1 21 5" xfId="461"/>
    <cellStyle name="20% - Accent1 21 6" xfId="462"/>
    <cellStyle name="20% - Accent1 22" xfId="463"/>
    <cellStyle name="20% - Accent1 22 2" xfId="464"/>
    <cellStyle name="20% - Accent1 22 3" xfId="465"/>
    <cellStyle name="20% - Accent1 22 4" xfId="466"/>
    <cellStyle name="20% - Accent1 22 5" xfId="467"/>
    <cellStyle name="20% - Accent1 22 6" xfId="468"/>
    <cellStyle name="20% - Accent1 23" xfId="469"/>
    <cellStyle name="20% - Accent1 23 2" xfId="470"/>
    <cellStyle name="20% - Accent1 23 3" xfId="471"/>
    <cellStyle name="20% - Accent1 23 4" xfId="472"/>
    <cellStyle name="20% - Accent1 23 5" xfId="473"/>
    <cellStyle name="20% - Accent1 23 6" xfId="474"/>
    <cellStyle name="20% - Accent1 24" xfId="475"/>
    <cellStyle name="20% - Accent1 24 2" xfId="476"/>
    <cellStyle name="20% - Accent1 24 3" xfId="477"/>
    <cellStyle name="20% - Accent1 24 4" xfId="478"/>
    <cellStyle name="20% - Accent1 24 5" xfId="479"/>
    <cellStyle name="20% - Accent1 24 6" xfId="480"/>
    <cellStyle name="20% - Accent1 25" xfId="481"/>
    <cellStyle name="20% - Accent1 25 2" xfId="482"/>
    <cellStyle name="20% - Accent1 25 3" xfId="483"/>
    <cellStyle name="20% - Accent1 25 4" xfId="484"/>
    <cellStyle name="20% - Accent1 25 5" xfId="485"/>
    <cellStyle name="20% - Accent1 25 6" xfId="486"/>
    <cellStyle name="20% - Accent1 26" xfId="487"/>
    <cellStyle name="20% - Accent1 26 2" xfId="488"/>
    <cellStyle name="20% - Accent1 26 3" xfId="489"/>
    <cellStyle name="20% - Accent1 26 4" xfId="490"/>
    <cellStyle name="20% - Accent1 26 5" xfId="491"/>
    <cellStyle name="20% - Accent1 26 6" xfId="492"/>
    <cellStyle name="20% - Accent1 27" xfId="493"/>
    <cellStyle name="20% - Accent1 27 2" xfId="494"/>
    <cellStyle name="20% - Accent1 27 3" xfId="495"/>
    <cellStyle name="20% - Accent1 27 4" xfId="496"/>
    <cellStyle name="20% - Accent1 27 5" xfId="497"/>
    <cellStyle name="20% - Accent1 27 6" xfId="498"/>
    <cellStyle name="20% - Accent1 28" xfId="499"/>
    <cellStyle name="20% - Accent1 28 2" xfId="500"/>
    <cellStyle name="20% - Accent1 28 3" xfId="501"/>
    <cellStyle name="20% - Accent1 28 4" xfId="502"/>
    <cellStyle name="20% - Accent1 28 5" xfId="503"/>
    <cellStyle name="20% - Accent1 28 6" xfId="504"/>
    <cellStyle name="20% - Accent1 29" xfId="505"/>
    <cellStyle name="20% - Accent1 29 2" xfId="506"/>
    <cellStyle name="20% - Accent1 29 3" xfId="507"/>
    <cellStyle name="20% - Accent1 29 4" xfId="508"/>
    <cellStyle name="20% - Accent1 29 5" xfId="509"/>
    <cellStyle name="20% - Accent1 29 6" xfId="510"/>
    <cellStyle name="20% - Accent1 3" xfId="242"/>
    <cellStyle name="20% - Accent1 3 2" xfId="512"/>
    <cellStyle name="20% - Accent1 3 3" xfId="513"/>
    <cellStyle name="20% - Accent1 3 4" xfId="514"/>
    <cellStyle name="20% - Accent1 3 5" xfId="515"/>
    <cellStyle name="20% - Accent1 3 6" xfId="516"/>
    <cellStyle name="20% - Accent1 3 7" xfId="511"/>
    <cellStyle name="20% - Accent1 3 8" xfId="3459"/>
    <cellStyle name="20% - Accent1 30" xfId="517"/>
    <cellStyle name="20% - Accent1 30 2" xfId="518"/>
    <cellStyle name="20% - Accent1 30 3" xfId="519"/>
    <cellStyle name="20% - Accent1 30 4" xfId="520"/>
    <cellStyle name="20% - Accent1 30 5" xfId="521"/>
    <cellStyle name="20% - Accent1 30 6" xfId="522"/>
    <cellStyle name="20% - Accent1 31" xfId="523"/>
    <cellStyle name="20% - Accent1 31 2" xfId="524"/>
    <cellStyle name="20% - Accent1 31 3" xfId="525"/>
    <cellStyle name="20% - Accent1 31 4" xfId="526"/>
    <cellStyle name="20% - Accent1 31 5" xfId="527"/>
    <cellStyle name="20% - Accent1 31 6" xfId="528"/>
    <cellStyle name="20% - Accent1 32" xfId="529"/>
    <cellStyle name="20% - Accent1 32 2" xfId="530"/>
    <cellStyle name="20% - Accent1 32 3" xfId="531"/>
    <cellStyle name="20% - Accent1 32 4" xfId="532"/>
    <cellStyle name="20% - Accent1 32 5" xfId="533"/>
    <cellStyle name="20% - Accent1 32 6" xfId="534"/>
    <cellStyle name="20% - Accent1 33" xfId="535"/>
    <cellStyle name="20% - Accent1 33 2" xfId="536"/>
    <cellStyle name="20% - Accent1 33 3" xfId="537"/>
    <cellStyle name="20% - Accent1 33 4" xfId="538"/>
    <cellStyle name="20% - Accent1 33 5" xfId="539"/>
    <cellStyle name="20% - Accent1 33 6" xfId="540"/>
    <cellStyle name="20% - Accent1 34" xfId="541"/>
    <cellStyle name="20% - Accent1 34 2" xfId="542"/>
    <cellStyle name="20% - Accent1 34 3" xfId="543"/>
    <cellStyle name="20% - Accent1 34 4" xfId="544"/>
    <cellStyle name="20% - Accent1 34 5" xfId="545"/>
    <cellStyle name="20% - Accent1 34 6" xfId="546"/>
    <cellStyle name="20% - Accent1 35" xfId="547"/>
    <cellStyle name="20% - Accent1 35 2" xfId="548"/>
    <cellStyle name="20% - Accent1 35 3" xfId="549"/>
    <cellStyle name="20% - Accent1 35 4" xfId="550"/>
    <cellStyle name="20% - Accent1 35 5" xfId="551"/>
    <cellStyle name="20% - Accent1 35 6" xfId="552"/>
    <cellStyle name="20% - Accent1 36" xfId="553"/>
    <cellStyle name="20% - Accent1 36 2" xfId="554"/>
    <cellStyle name="20% - Accent1 36 3" xfId="555"/>
    <cellStyle name="20% - Accent1 36 4" xfId="556"/>
    <cellStyle name="20% - Accent1 37" xfId="557"/>
    <cellStyle name="20% - Accent1 37 2" xfId="558"/>
    <cellStyle name="20% - Accent1 37 3" xfId="559"/>
    <cellStyle name="20% - Accent1 37 4" xfId="560"/>
    <cellStyle name="20% - Accent1 38" xfId="561"/>
    <cellStyle name="20% - Accent1 38 2" xfId="562"/>
    <cellStyle name="20% - Accent1 38 3" xfId="563"/>
    <cellStyle name="20% - Accent1 38 4" xfId="564"/>
    <cellStyle name="20% - Accent1 39" xfId="565"/>
    <cellStyle name="20% - Accent1 39 2" xfId="566"/>
    <cellStyle name="20% - Accent1 39 3" xfId="567"/>
    <cellStyle name="20% - Accent1 39 4" xfId="568"/>
    <cellStyle name="20% - Accent1 4" xfId="569"/>
    <cellStyle name="20% - Accent1 4 2" xfId="570"/>
    <cellStyle name="20% - Accent1 4 3" xfId="571"/>
    <cellStyle name="20% - Accent1 4 4" xfId="572"/>
    <cellStyle name="20% - Accent1 4 5" xfId="573"/>
    <cellStyle name="20% - Accent1 4 6" xfId="574"/>
    <cellStyle name="20% - Accent1 40" xfId="575"/>
    <cellStyle name="20% - Accent1 40 2" xfId="576"/>
    <cellStyle name="20% - Accent1 40 3" xfId="577"/>
    <cellStyle name="20% - Accent1 5" xfId="578"/>
    <cellStyle name="20% - Accent1 5 2" xfId="579"/>
    <cellStyle name="20% - Accent1 5 3" xfId="580"/>
    <cellStyle name="20% - Accent1 5 4" xfId="581"/>
    <cellStyle name="20% - Accent1 5 5" xfId="582"/>
    <cellStyle name="20% - Accent1 5 6" xfId="583"/>
    <cellStyle name="20% - Accent1 6" xfId="584"/>
    <cellStyle name="20% - Accent1 6 2" xfId="585"/>
    <cellStyle name="20% - Accent1 6 3" xfId="586"/>
    <cellStyle name="20% - Accent1 6 4" xfId="587"/>
    <cellStyle name="20% - Accent1 6 5" xfId="588"/>
    <cellStyle name="20% - Accent1 6 6" xfId="589"/>
    <cellStyle name="20% - Accent1 7" xfId="590"/>
    <cellStyle name="20% - Accent1 7 2" xfId="591"/>
    <cellStyle name="20% - Accent1 7 3" xfId="592"/>
    <cellStyle name="20% - Accent1 7 4" xfId="593"/>
    <cellStyle name="20% - Accent1 7 5" xfId="594"/>
    <cellStyle name="20% - Accent1 7 6" xfId="595"/>
    <cellStyle name="20% - Accent1 8" xfId="596"/>
    <cellStyle name="20% - Accent1 8 2" xfId="597"/>
    <cellStyle name="20% - Accent1 8 3" xfId="598"/>
    <cellStyle name="20% - Accent1 8 4" xfId="599"/>
    <cellStyle name="20% - Accent1 8 5" xfId="600"/>
    <cellStyle name="20% - Accent1 8 6" xfId="601"/>
    <cellStyle name="20% - Accent1 9" xfId="602"/>
    <cellStyle name="20% - Accent1 9 2" xfId="603"/>
    <cellStyle name="20% - Accent1 9 3" xfId="604"/>
    <cellStyle name="20% - Accent1 9 4" xfId="605"/>
    <cellStyle name="20% - Accent1 9 5" xfId="606"/>
    <cellStyle name="20% - Accent1 9 6" xfId="607"/>
    <cellStyle name="20% - Accent2" xfId="24" builtinId="34" customBuiltin="1"/>
    <cellStyle name="20% - Accent2 10" xfId="608"/>
    <cellStyle name="20% - Accent2 10 2" xfId="609"/>
    <cellStyle name="20% - Accent2 10 3" xfId="610"/>
    <cellStyle name="20% - Accent2 10 4" xfId="611"/>
    <cellStyle name="20% - Accent2 10 5" xfId="612"/>
    <cellStyle name="20% - Accent2 10 6" xfId="613"/>
    <cellStyle name="20% - Accent2 11" xfId="614"/>
    <cellStyle name="20% - Accent2 11 2" xfId="615"/>
    <cellStyle name="20% - Accent2 11 3" xfId="616"/>
    <cellStyle name="20% - Accent2 11 4" xfId="617"/>
    <cellStyle name="20% - Accent2 11 5" xfId="618"/>
    <cellStyle name="20% - Accent2 11 6" xfId="619"/>
    <cellStyle name="20% - Accent2 12" xfId="620"/>
    <cellStyle name="20% - Accent2 12 2" xfId="621"/>
    <cellStyle name="20% - Accent2 12 3" xfId="622"/>
    <cellStyle name="20% - Accent2 12 4" xfId="623"/>
    <cellStyle name="20% - Accent2 12 5" xfId="624"/>
    <cellStyle name="20% - Accent2 12 6" xfId="625"/>
    <cellStyle name="20% - Accent2 13" xfId="626"/>
    <cellStyle name="20% - Accent2 13 2" xfId="627"/>
    <cellStyle name="20% - Accent2 13 3" xfId="628"/>
    <cellStyle name="20% - Accent2 13 4" xfId="629"/>
    <cellStyle name="20% - Accent2 13 5" xfId="630"/>
    <cellStyle name="20% - Accent2 13 6" xfId="631"/>
    <cellStyle name="20% - Accent2 14" xfId="632"/>
    <cellStyle name="20% - Accent2 14 2" xfId="633"/>
    <cellStyle name="20% - Accent2 14 3" xfId="634"/>
    <cellStyle name="20% - Accent2 14 4" xfId="635"/>
    <cellStyle name="20% - Accent2 14 5" xfId="636"/>
    <cellStyle name="20% - Accent2 14 6" xfId="637"/>
    <cellStyle name="20% - Accent2 15" xfId="638"/>
    <cellStyle name="20% - Accent2 15 2" xfId="639"/>
    <cellStyle name="20% - Accent2 15 3" xfId="640"/>
    <cellStyle name="20% - Accent2 15 4" xfId="641"/>
    <cellStyle name="20% - Accent2 15 5" xfId="642"/>
    <cellStyle name="20% - Accent2 15 6" xfId="643"/>
    <cellStyle name="20% - Accent2 16" xfId="644"/>
    <cellStyle name="20% - Accent2 16 2" xfId="645"/>
    <cellStyle name="20% - Accent2 16 3" xfId="646"/>
    <cellStyle name="20% - Accent2 16 4" xfId="647"/>
    <cellStyle name="20% - Accent2 16 5" xfId="648"/>
    <cellStyle name="20% - Accent2 16 6" xfId="649"/>
    <cellStyle name="20% - Accent2 17" xfId="650"/>
    <cellStyle name="20% - Accent2 17 2" xfId="651"/>
    <cellStyle name="20% - Accent2 17 3" xfId="652"/>
    <cellStyle name="20% - Accent2 17 4" xfId="653"/>
    <cellStyle name="20% - Accent2 17 5" xfId="654"/>
    <cellStyle name="20% - Accent2 17 6" xfId="655"/>
    <cellStyle name="20% - Accent2 18" xfId="656"/>
    <cellStyle name="20% - Accent2 18 2" xfId="657"/>
    <cellStyle name="20% - Accent2 18 3" xfId="658"/>
    <cellStyle name="20% - Accent2 18 4" xfId="659"/>
    <cellStyle name="20% - Accent2 18 5" xfId="660"/>
    <cellStyle name="20% - Accent2 18 6" xfId="661"/>
    <cellStyle name="20% - Accent2 19" xfId="662"/>
    <cellStyle name="20% - Accent2 19 2" xfId="663"/>
    <cellStyle name="20% - Accent2 19 3" xfId="664"/>
    <cellStyle name="20% - Accent2 19 4" xfId="665"/>
    <cellStyle name="20% - Accent2 19 5" xfId="666"/>
    <cellStyle name="20% - Accent2 19 6" xfId="667"/>
    <cellStyle name="20% - Accent2 2" xfId="56"/>
    <cellStyle name="20% - Accent2 2 10" xfId="668"/>
    <cellStyle name="20% - Accent2 2 11" xfId="669"/>
    <cellStyle name="20% - Accent2 2 12" xfId="670"/>
    <cellStyle name="20% - Accent2 2 13" xfId="671"/>
    <cellStyle name="20% - Accent2 2 14" xfId="672"/>
    <cellStyle name="20% - Accent2 2 15" xfId="673"/>
    <cellStyle name="20% - Accent2 2 16" xfId="674"/>
    <cellStyle name="20% - Accent2 2 17" xfId="675"/>
    <cellStyle name="20% - Accent2 2 18" xfId="676"/>
    <cellStyle name="20% - Accent2 2 2" xfId="308"/>
    <cellStyle name="20% - Accent2 2 2 2" xfId="677"/>
    <cellStyle name="20% - Accent2 2 3" xfId="678"/>
    <cellStyle name="20% - Accent2 2 4" xfId="679"/>
    <cellStyle name="20% - Accent2 2 5" xfId="680"/>
    <cellStyle name="20% - Accent2 2 6" xfId="681"/>
    <cellStyle name="20% - Accent2 2 7" xfId="682"/>
    <cellStyle name="20% - Accent2 2 8" xfId="683"/>
    <cellStyle name="20% - Accent2 2 9" xfId="684"/>
    <cellStyle name="20% - Accent2 20" xfId="685"/>
    <cellStyle name="20% - Accent2 20 2" xfId="686"/>
    <cellStyle name="20% - Accent2 20 3" xfId="687"/>
    <cellStyle name="20% - Accent2 20 4" xfId="688"/>
    <cellStyle name="20% - Accent2 20 5" xfId="689"/>
    <cellStyle name="20% - Accent2 20 6" xfId="690"/>
    <cellStyle name="20% - Accent2 21" xfId="691"/>
    <cellStyle name="20% - Accent2 21 2" xfId="692"/>
    <cellStyle name="20% - Accent2 21 3" xfId="693"/>
    <cellStyle name="20% - Accent2 21 4" xfId="694"/>
    <cellStyle name="20% - Accent2 21 5" xfId="695"/>
    <cellStyle name="20% - Accent2 21 6" xfId="696"/>
    <cellStyle name="20% - Accent2 22" xfId="697"/>
    <cellStyle name="20% - Accent2 22 2" xfId="698"/>
    <cellStyle name="20% - Accent2 22 3" xfId="699"/>
    <cellStyle name="20% - Accent2 22 4" xfId="700"/>
    <cellStyle name="20% - Accent2 22 5" xfId="701"/>
    <cellStyle name="20% - Accent2 22 6" xfId="702"/>
    <cellStyle name="20% - Accent2 23" xfId="703"/>
    <cellStyle name="20% - Accent2 23 2" xfId="704"/>
    <cellStyle name="20% - Accent2 23 3" xfId="705"/>
    <cellStyle name="20% - Accent2 23 4" xfId="706"/>
    <cellStyle name="20% - Accent2 23 5" xfId="707"/>
    <cellStyle name="20% - Accent2 23 6" xfId="708"/>
    <cellStyle name="20% - Accent2 24" xfId="709"/>
    <cellStyle name="20% - Accent2 24 2" xfId="710"/>
    <cellStyle name="20% - Accent2 24 3" xfId="711"/>
    <cellStyle name="20% - Accent2 24 4" xfId="712"/>
    <cellStyle name="20% - Accent2 24 5" xfId="713"/>
    <cellStyle name="20% - Accent2 24 6" xfId="714"/>
    <cellStyle name="20% - Accent2 25" xfId="715"/>
    <cellStyle name="20% - Accent2 25 2" xfId="716"/>
    <cellStyle name="20% - Accent2 25 3" xfId="717"/>
    <cellStyle name="20% - Accent2 25 4" xfId="718"/>
    <cellStyle name="20% - Accent2 25 5" xfId="719"/>
    <cellStyle name="20% - Accent2 25 6" xfId="720"/>
    <cellStyle name="20% - Accent2 26" xfId="721"/>
    <cellStyle name="20% - Accent2 26 2" xfId="722"/>
    <cellStyle name="20% - Accent2 26 3" xfId="723"/>
    <cellStyle name="20% - Accent2 26 4" xfId="724"/>
    <cellStyle name="20% - Accent2 26 5" xfId="725"/>
    <cellStyle name="20% - Accent2 26 6" xfId="726"/>
    <cellStyle name="20% - Accent2 27" xfId="727"/>
    <cellStyle name="20% - Accent2 27 2" xfId="728"/>
    <cellStyle name="20% - Accent2 27 3" xfId="729"/>
    <cellStyle name="20% - Accent2 27 4" xfId="730"/>
    <cellStyle name="20% - Accent2 27 5" xfId="731"/>
    <cellStyle name="20% - Accent2 27 6" xfId="732"/>
    <cellStyle name="20% - Accent2 28" xfId="733"/>
    <cellStyle name="20% - Accent2 28 2" xfId="734"/>
    <cellStyle name="20% - Accent2 28 3" xfId="735"/>
    <cellStyle name="20% - Accent2 28 4" xfId="736"/>
    <cellStyle name="20% - Accent2 28 5" xfId="737"/>
    <cellStyle name="20% - Accent2 28 6" xfId="738"/>
    <cellStyle name="20% - Accent2 29" xfId="739"/>
    <cellStyle name="20% - Accent2 29 2" xfId="740"/>
    <cellStyle name="20% - Accent2 29 3" xfId="741"/>
    <cellStyle name="20% - Accent2 29 4" xfId="742"/>
    <cellStyle name="20% - Accent2 29 5" xfId="743"/>
    <cellStyle name="20% - Accent2 29 6" xfId="744"/>
    <cellStyle name="20% - Accent2 3" xfId="243"/>
    <cellStyle name="20% - Accent2 3 2" xfId="746"/>
    <cellStyle name="20% - Accent2 3 3" xfId="747"/>
    <cellStyle name="20% - Accent2 3 4" xfId="748"/>
    <cellStyle name="20% - Accent2 3 5" xfId="749"/>
    <cellStyle name="20% - Accent2 3 6" xfId="750"/>
    <cellStyle name="20% - Accent2 3 7" xfId="745"/>
    <cellStyle name="20% - Accent2 3 8" xfId="3460"/>
    <cellStyle name="20% - Accent2 30" xfId="751"/>
    <cellStyle name="20% - Accent2 30 2" xfId="752"/>
    <cellStyle name="20% - Accent2 30 3" xfId="753"/>
    <cellStyle name="20% - Accent2 30 4" xfId="754"/>
    <cellStyle name="20% - Accent2 30 5" xfId="755"/>
    <cellStyle name="20% - Accent2 30 6" xfId="756"/>
    <cellStyle name="20% - Accent2 31" xfId="757"/>
    <cellStyle name="20% - Accent2 31 2" xfId="758"/>
    <cellStyle name="20% - Accent2 31 3" xfId="759"/>
    <cellStyle name="20% - Accent2 31 4" xfId="760"/>
    <cellStyle name="20% - Accent2 31 5" xfId="761"/>
    <cellStyle name="20% - Accent2 31 6" xfId="762"/>
    <cellStyle name="20% - Accent2 32" xfId="763"/>
    <cellStyle name="20% - Accent2 32 2" xfId="764"/>
    <cellStyle name="20% - Accent2 32 3" xfId="765"/>
    <cellStyle name="20% - Accent2 32 4" xfId="766"/>
    <cellStyle name="20% - Accent2 32 5" xfId="767"/>
    <cellStyle name="20% - Accent2 32 6" xfId="768"/>
    <cellStyle name="20% - Accent2 33" xfId="769"/>
    <cellStyle name="20% - Accent2 33 2" xfId="770"/>
    <cellStyle name="20% - Accent2 33 3" xfId="771"/>
    <cellStyle name="20% - Accent2 33 4" xfId="772"/>
    <cellStyle name="20% - Accent2 33 5" xfId="773"/>
    <cellStyle name="20% - Accent2 33 6" xfId="774"/>
    <cellStyle name="20% - Accent2 34" xfId="775"/>
    <cellStyle name="20% - Accent2 34 2" xfId="776"/>
    <cellStyle name="20% - Accent2 34 3" xfId="777"/>
    <cellStyle name="20% - Accent2 34 4" xfId="778"/>
    <cellStyle name="20% - Accent2 34 5" xfId="779"/>
    <cellStyle name="20% - Accent2 34 6" xfId="780"/>
    <cellStyle name="20% - Accent2 35" xfId="781"/>
    <cellStyle name="20% - Accent2 35 2" xfId="782"/>
    <cellStyle name="20% - Accent2 35 3" xfId="783"/>
    <cellStyle name="20% - Accent2 35 4" xfId="784"/>
    <cellStyle name="20% - Accent2 35 5" xfId="785"/>
    <cellStyle name="20% - Accent2 35 6" xfId="786"/>
    <cellStyle name="20% - Accent2 36" xfId="787"/>
    <cellStyle name="20% - Accent2 36 2" xfId="788"/>
    <cellStyle name="20% - Accent2 36 3" xfId="789"/>
    <cellStyle name="20% - Accent2 36 4" xfId="790"/>
    <cellStyle name="20% - Accent2 37" xfId="791"/>
    <cellStyle name="20% - Accent2 37 2" xfId="792"/>
    <cellStyle name="20% - Accent2 37 3" xfId="793"/>
    <cellStyle name="20% - Accent2 37 4" xfId="794"/>
    <cellStyle name="20% - Accent2 38" xfId="795"/>
    <cellStyle name="20% - Accent2 38 2" xfId="796"/>
    <cellStyle name="20% - Accent2 38 3" xfId="797"/>
    <cellStyle name="20% - Accent2 38 4" xfId="798"/>
    <cellStyle name="20% - Accent2 39" xfId="799"/>
    <cellStyle name="20% - Accent2 39 2" xfId="800"/>
    <cellStyle name="20% - Accent2 39 3" xfId="801"/>
    <cellStyle name="20% - Accent2 39 4" xfId="802"/>
    <cellStyle name="20% - Accent2 4" xfId="803"/>
    <cellStyle name="20% - Accent2 4 2" xfId="804"/>
    <cellStyle name="20% - Accent2 4 3" xfId="805"/>
    <cellStyle name="20% - Accent2 4 4" xfId="806"/>
    <cellStyle name="20% - Accent2 4 5" xfId="807"/>
    <cellStyle name="20% - Accent2 4 6" xfId="808"/>
    <cellStyle name="20% - Accent2 40" xfId="809"/>
    <cellStyle name="20% - Accent2 40 2" xfId="810"/>
    <cellStyle name="20% - Accent2 40 3" xfId="811"/>
    <cellStyle name="20% - Accent2 5" xfId="812"/>
    <cellStyle name="20% - Accent2 5 2" xfId="813"/>
    <cellStyle name="20% - Accent2 5 3" xfId="814"/>
    <cellStyle name="20% - Accent2 5 4" xfId="815"/>
    <cellStyle name="20% - Accent2 5 5" xfId="816"/>
    <cellStyle name="20% - Accent2 5 6" xfId="817"/>
    <cellStyle name="20% - Accent2 6" xfId="818"/>
    <cellStyle name="20% - Accent2 6 2" xfId="819"/>
    <cellStyle name="20% - Accent2 6 3" xfId="820"/>
    <cellStyle name="20% - Accent2 6 4" xfId="821"/>
    <cellStyle name="20% - Accent2 6 5" xfId="822"/>
    <cellStyle name="20% - Accent2 6 6" xfId="823"/>
    <cellStyle name="20% - Accent2 7" xfId="824"/>
    <cellStyle name="20% - Accent2 7 2" xfId="825"/>
    <cellStyle name="20% - Accent2 7 3" xfId="826"/>
    <cellStyle name="20% - Accent2 7 4" xfId="827"/>
    <cellStyle name="20% - Accent2 7 5" xfId="828"/>
    <cellStyle name="20% - Accent2 7 6" xfId="829"/>
    <cellStyle name="20% - Accent2 8" xfId="830"/>
    <cellStyle name="20% - Accent2 8 2" xfId="831"/>
    <cellStyle name="20% - Accent2 8 3" xfId="832"/>
    <cellStyle name="20% - Accent2 8 4" xfId="833"/>
    <cellStyle name="20% - Accent2 8 5" xfId="834"/>
    <cellStyle name="20% - Accent2 8 6" xfId="835"/>
    <cellStyle name="20% - Accent2 9" xfId="836"/>
    <cellStyle name="20% - Accent2 9 2" xfId="837"/>
    <cellStyle name="20% - Accent2 9 3" xfId="838"/>
    <cellStyle name="20% - Accent2 9 4" xfId="839"/>
    <cellStyle name="20% - Accent2 9 5" xfId="840"/>
    <cellStyle name="20% - Accent2 9 6" xfId="841"/>
    <cellStyle name="20% - Accent3" xfId="28" builtinId="38" customBuiltin="1"/>
    <cellStyle name="20% - Accent3 10" xfId="842"/>
    <cellStyle name="20% - Accent3 10 2" xfId="843"/>
    <cellStyle name="20% - Accent3 10 3" xfId="844"/>
    <cellStyle name="20% - Accent3 10 4" xfId="845"/>
    <cellStyle name="20% - Accent3 10 5" xfId="846"/>
    <cellStyle name="20% - Accent3 10 6" xfId="847"/>
    <cellStyle name="20% - Accent3 11" xfId="848"/>
    <cellStyle name="20% - Accent3 11 2" xfId="849"/>
    <cellStyle name="20% - Accent3 11 3" xfId="850"/>
    <cellStyle name="20% - Accent3 11 4" xfId="851"/>
    <cellStyle name="20% - Accent3 11 5" xfId="852"/>
    <cellStyle name="20% - Accent3 11 6" xfId="853"/>
    <cellStyle name="20% - Accent3 12" xfId="854"/>
    <cellStyle name="20% - Accent3 12 2" xfId="855"/>
    <cellStyle name="20% - Accent3 12 3" xfId="856"/>
    <cellStyle name="20% - Accent3 12 4" xfId="857"/>
    <cellStyle name="20% - Accent3 12 5" xfId="858"/>
    <cellStyle name="20% - Accent3 12 6" xfId="859"/>
    <cellStyle name="20% - Accent3 13" xfId="860"/>
    <cellStyle name="20% - Accent3 13 2" xfId="861"/>
    <cellStyle name="20% - Accent3 13 3" xfId="862"/>
    <cellStyle name="20% - Accent3 13 4" xfId="863"/>
    <cellStyle name="20% - Accent3 13 5" xfId="864"/>
    <cellStyle name="20% - Accent3 13 6" xfId="865"/>
    <cellStyle name="20% - Accent3 14" xfId="866"/>
    <cellStyle name="20% - Accent3 14 2" xfId="867"/>
    <cellStyle name="20% - Accent3 14 3" xfId="868"/>
    <cellStyle name="20% - Accent3 14 4" xfId="869"/>
    <cellStyle name="20% - Accent3 14 5" xfId="870"/>
    <cellStyle name="20% - Accent3 14 6" xfId="871"/>
    <cellStyle name="20% - Accent3 15" xfId="872"/>
    <cellStyle name="20% - Accent3 15 2" xfId="873"/>
    <cellStyle name="20% - Accent3 15 3" xfId="874"/>
    <cellStyle name="20% - Accent3 15 4" xfId="875"/>
    <cellStyle name="20% - Accent3 15 5" xfId="876"/>
    <cellStyle name="20% - Accent3 15 6" xfId="877"/>
    <cellStyle name="20% - Accent3 16" xfId="878"/>
    <cellStyle name="20% - Accent3 16 2" xfId="879"/>
    <cellStyle name="20% - Accent3 16 3" xfId="880"/>
    <cellStyle name="20% - Accent3 16 4" xfId="881"/>
    <cellStyle name="20% - Accent3 16 5" xfId="882"/>
    <cellStyle name="20% - Accent3 16 6" xfId="883"/>
    <cellStyle name="20% - Accent3 17" xfId="884"/>
    <cellStyle name="20% - Accent3 17 2" xfId="885"/>
    <cellStyle name="20% - Accent3 17 3" xfId="886"/>
    <cellStyle name="20% - Accent3 17 4" xfId="887"/>
    <cellStyle name="20% - Accent3 17 5" xfId="888"/>
    <cellStyle name="20% - Accent3 17 6" xfId="889"/>
    <cellStyle name="20% - Accent3 18" xfId="890"/>
    <cellStyle name="20% - Accent3 18 2" xfId="891"/>
    <cellStyle name="20% - Accent3 18 3" xfId="892"/>
    <cellStyle name="20% - Accent3 18 4" xfId="893"/>
    <cellStyle name="20% - Accent3 18 5" xfId="894"/>
    <cellStyle name="20% - Accent3 18 6" xfId="895"/>
    <cellStyle name="20% - Accent3 19" xfId="896"/>
    <cellStyle name="20% - Accent3 19 2" xfId="897"/>
    <cellStyle name="20% - Accent3 19 3" xfId="898"/>
    <cellStyle name="20% - Accent3 19 4" xfId="899"/>
    <cellStyle name="20% - Accent3 19 5" xfId="900"/>
    <cellStyle name="20% - Accent3 19 6" xfId="901"/>
    <cellStyle name="20% - Accent3 2" xfId="49"/>
    <cellStyle name="20% - Accent3 2 10" xfId="902"/>
    <cellStyle name="20% - Accent3 2 11" xfId="903"/>
    <cellStyle name="20% - Accent3 2 12" xfId="904"/>
    <cellStyle name="20% - Accent3 2 13" xfId="905"/>
    <cellStyle name="20% - Accent3 2 14" xfId="906"/>
    <cellStyle name="20% - Accent3 2 15" xfId="907"/>
    <cellStyle name="20% - Accent3 2 16" xfId="908"/>
    <cellStyle name="20% - Accent3 2 17" xfId="909"/>
    <cellStyle name="20% - Accent3 2 18" xfId="910"/>
    <cellStyle name="20% - Accent3 2 2" xfId="309"/>
    <cellStyle name="20% - Accent3 2 2 2" xfId="911"/>
    <cellStyle name="20% - Accent3 2 3" xfId="912"/>
    <cellStyle name="20% - Accent3 2 4" xfId="913"/>
    <cellStyle name="20% - Accent3 2 5" xfId="914"/>
    <cellStyle name="20% - Accent3 2 6" xfId="915"/>
    <cellStyle name="20% - Accent3 2 7" xfId="916"/>
    <cellStyle name="20% - Accent3 2 8" xfId="917"/>
    <cellStyle name="20% - Accent3 2 9" xfId="918"/>
    <cellStyle name="20% - Accent3 20" xfId="919"/>
    <cellStyle name="20% - Accent3 20 2" xfId="920"/>
    <cellStyle name="20% - Accent3 20 3" xfId="921"/>
    <cellStyle name="20% - Accent3 20 4" xfId="922"/>
    <cellStyle name="20% - Accent3 20 5" xfId="923"/>
    <cellStyle name="20% - Accent3 20 6" xfId="924"/>
    <cellStyle name="20% - Accent3 21" xfId="925"/>
    <cellStyle name="20% - Accent3 21 2" xfId="926"/>
    <cellStyle name="20% - Accent3 21 3" xfId="927"/>
    <cellStyle name="20% - Accent3 21 4" xfId="928"/>
    <cellStyle name="20% - Accent3 21 5" xfId="929"/>
    <cellStyle name="20% - Accent3 21 6" xfId="930"/>
    <cellStyle name="20% - Accent3 22" xfId="931"/>
    <cellStyle name="20% - Accent3 22 2" xfId="932"/>
    <cellStyle name="20% - Accent3 22 3" xfId="933"/>
    <cellStyle name="20% - Accent3 22 4" xfId="934"/>
    <cellStyle name="20% - Accent3 22 5" xfId="935"/>
    <cellStyle name="20% - Accent3 22 6" xfId="936"/>
    <cellStyle name="20% - Accent3 23" xfId="937"/>
    <cellStyle name="20% - Accent3 23 2" xfId="938"/>
    <cellStyle name="20% - Accent3 23 3" xfId="939"/>
    <cellStyle name="20% - Accent3 23 4" xfId="940"/>
    <cellStyle name="20% - Accent3 23 5" xfId="941"/>
    <cellStyle name="20% - Accent3 23 6" xfId="942"/>
    <cellStyle name="20% - Accent3 24" xfId="943"/>
    <cellStyle name="20% - Accent3 24 2" xfId="944"/>
    <cellStyle name="20% - Accent3 24 3" xfId="945"/>
    <cellStyle name="20% - Accent3 24 4" xfId="946"/>
    <cellStyle name="20% - Accent3 24 5" xfId="947"/>
    <cellStyle name="20% - Accent3 24 6" xfId="948"/>
    <cellStyle name="20% - Accent3 25" xfId="949"/>
    <cellStyle name="20% - Accent3 25 2" xfId="950"/>
    <cellStyle name="20% - Accent3 25 3" xfId="951"/>
    <cellStyle name="20% - Accent3 25 4" xfId="952"/>
    <cellStyle name="20% - Accent3 25 5" xfId="953"/>
    <cellStyle name="20% - Accent3 25 6" xfId="954"/>
    <cellStyle name="20% - Accent3 26" xfId="955"/>
    <cellStyle name="20% - Accent3 26 2" xfId="956"/>
    <cellStyle name="20% - Accent3 26 3" xfId="957"/>
    <cellStyle name="20% - Accent3 26 4" xfId="958"/>
    <cellStyle name="20% - Accent3 26 5" xfId="959"/>
    <cellStyle name="20% - Accent3 26 6" xfId="960"/>
    <cellStyle name="20% - Accent3 27" xfId="961"/>
    <cellStyle name="20% - Accent3 27 2" xfId="962"/>
    <cellStyle name="20% - Accent3 27 3" xfId="963"/>
    <cellStyle name="20% - Accent3 27 4" xfId="964"/>
    <cellStyle name="20% - Accent3 27 5" xfId="965"/>
    <cellStyle name="20% - Accent3 27 6" xfId="966"/>
    <cellStyle name="20% - Accent3 28" xfId="967"/>
    <cellStyle name="20% - Accent3 28 2" xfId="968"/>
    <cellStyle name="20% - Accent3 28 3" xfId="969"/>
    <cellStyle name="20% - Accent3 28 4" xfId="970"/>
    <cellStyle name="20% - Accent3 28 5" xfId="971"/>
    <cellStyle name="20% - Accent3 28 6" xfId="972"/>
    <cellStyle name="20% - Accent3 29" xfId="973"/>
    <cellStyle name="20% - Accent3 29 2" xfId="974"/>
    <cellStyle name="20% - Accent3 29 3" xfId="975"/>
    <cellStyle name="20% - Accent3 29 4" xfId="976"/>
    <cellStyle name="20% - Accent3 29 5" xfId="977"/>
    <cellStyle name="20% - Accent3 29 6" xfId="978"/>
    <cellStyle name="20% - Accent3 3" xfId="244"/>
    <cellStyle name="20% - Accent3 3 2" xfId="980"/>
    <cellStyle name="20% - Accent3 3 3" xfId="981"/>
    <cellStyle name="20% - Accent3 3 4" xfId="982"/>
    <cellStyle name="20% - Accent3 3 5" xfId="983"/>
    <cellStyle name="20% - Accent3 3 6" xfId="984"/>
    <cellStyle name="20% - Accent3 3 7" xfId="979"/>
    <cellStyle name="20% - Accent3 3 8" xfId="3461"/>
    <cellStyle name="20% - Accent3 30" xfId="985"/>
    <cellStyle name="20% - Accent3 30 2" xfId="986"/>
    <cellStyle name="20% - Accent3 30 3" xfId="987"/>
    <cellStyle name="20% - Accent3 30 4" xfId="988"/>
    <cellStyle name="20% - Accent3 30 5" xfId="989"/>
    <cellStyle name="20% - Accent3 30 6" xfId="990"/>
    <cellStyle name="20% - Accent3 31" xfId="991"/>
    <cellStyle name="20% - Accent3 31 2" xfId="992"/>
    <cellStyle name="20% - Accent3 31 3" xfId="993"/>
    <cellStyle name="20% - Accent3 31 4" xfId="994"/>
    <cellStyle name="20% - Accent3 31 5" xfId="995"/>
    <cellStyle name="20% - Accent3 31 6" xfId="996"/>
    <cellStyle name="20% - Accent3 32" xfId="997"/>
    <cellStyle name="20% - Accent3 32 2" xfId="998"/>
    <cellStyle name="20% - Accent3 32 3" xfId="999"/>
    <cellStyle name="20% - Accent3 32 4" xfId="1000"/>
    <cellStyle name="20% - Accent3 32 5" xfId="1001"/>
    <cellStyle name="20% - Accent3 32 6" xfId="1002"/>
    <cellStyle name="20% - Accent3 33" xfId="1003"/>
    <cellStyle name="20% - Accent3 33 2" xfId="1004"/>
    <cellStyle name="20% - Accent3 33 3" xfId="1005"/>
    <cellStyle name="20% - Accent3 33 4" xfId="1006"/>
    <cellStyle name="20% - Accent3 33 5" xfId="1007"/>
    <cellStyle name="20% - Accent3 33 6" xfId="1008"/>
    <cellStyle name="20% - Accent3 34" xfId="1009"/>
    <cellStyle name="20% - Accent3 34 2" xfId="1010"/>
    <cellStyle name="20% - Accent3 34 3" xfId="1011"/>
    <cellStyle name="20% - Accent3 34 4" xfId="1012"/>
    <cellStyle name="20% - Accent3 34 5" xfId="1013"/>
    <cellStyle name="20% - Accent3 34 6" xfId="1014"/>
    <cellStyle name="20% - Accent3 35" xfId="1015"/>
    <cellStyle name="20% - Accent3 35 2" xfId="1016"/>
    <cellStyle name="20% - Accent3 35 3" xfId="1017"/>
    <cellStyle name="20% - Accent3 35 4" xfId="1018"/>
    <cellStyle name="20% - Accent3 35 5" xfId="1019"/>
    <cellStyle name="20% - Accent3 35 6" xfId="1020"/>
    <cellStyle name="20% - Accent3 36" xfId="1021"/>
    <cellStyle name="20% - Accent3 36 2" xfId="1022"/>
    <cellStyle name="20% - Accent3 36 3" xfId="1023"/>
    <cellStyle name="20% - Accent3 36 4" xfId="1024"/>
    <cellStyle name="20% - Accent3 37" xfId="1025"/>
    <cellStyle name="20% - Accent3 37 2" xfId="1026"/>
    <cellStyle name="20% - Accent3 37 3" xfId="1027"/>
    <cellStyle name="20% - Accent3 37 4" xfId="1028"/>
    <cellStyle name="20% - Accent3 38" xfId="1029"/>
    <cellStyle name="20% - Accent3 38 2" xfId="1030"/>
    <cellStyle name="20% - Accent3 38 3" xfId="1031"/>
    <cellStyle name="20% - Accent3 38 4" xfId="1032"/>
    <cellStyle name="20% - Accent3 39" xfId="1033"/>
    <cellStyle name="20% - Accent3 39 2" xfId="1034"/>
    <cellStyle name="20% - Accent3 39 3" xfId="1035"/>
    <cellStyle name="20% - Accent3 39 4" xfId="1036"/>
    <cellStyle name="20% - Accent3 4" xfId="1037"/>
    <cellStyle name="20% - Accent3 4 2" xfId="1038"/>
    <cellStyle name="20% - Accent3 4 3" xfId="1039"/>
    <cellStyle name="20% - Accent3 4 4" xfId="1040"/>
    <cellStyle name="20% - Accent3 4 5" xfId="1041"/>
    <cellStyle name="20% - Accent3 4 6" xfId="1042"/>
    <cellStyle name="20% - Accent3 40" xfId="1043"/>
    <cellStyle name="20% - Accent3 40 2" xfId="1044"/>
    <cellStyle name="20% - Accent3 40 3" xfId="1045"/>
    <cellStyle name="20% - Accent3 5" xfId="1046"/>
    <cellStyle name="20% - Accent3 5 2" xfId="1047"/>
    <cellStyle name="20% - Accent3 5 3" xfId="1048"/>
    <cellStyle name="20% - Accent3 5 4" xfId="1049"/>
    <cellStyle name="20% - Accent3 5 5" xfId="1050"/>
    <cellStyle name="20% - Accent3 5 6" xfId="1051"/>
    <cellStyle name="20% - Accent3 6" xfId="1052"/>
    <cellStyle name="20% - Accent3 6 2" xfId="1053"/>
    <cellStyle name="20% - Accent3 6 3" xfId="1054"/>
    <cellStyle name="20% - Accent3 6 4" xfId="1055"/>
    <cellStyle name="20% - Accent3 6 5" xfId="1056"/>
    <cellStyle name="20% - Accent3 6 6" xfId="1057"/>
    <cellStyle name="20% - Accent3 7" xfId="1058"/>
    <cellStyle name="20% - Accent3 7 2" xfId="1059"/>
    <cellStyle name="20% - Accent3 7 3" xfId="1060"/>
    <cellStyle name="20% - Accent3 7 4" xfId="1061"/>
    <cellStyle name="20% - Accent3 7 5" xfId="1062"/>
    <cellStyle name="20% - Accent3 7 6" xfId="1063"/>
    <cellStyle name="20% - Accent3 8" xfId="1064"/>
    <cellStyle name="20% - Accent3 8 2" xfId="1065"/>
    <cellStyle name="20% - Accent3 8 3" xfId="1066"/>
    <cellStyle name="20% - Accent3 8 4" xfId="1067"/>
    <cellStyle name="20% - Accent3 8 5" xfId="1068"/>
    <cellStyle name="20% - Accent3 8 6" xfId="1069"/>
    <cellStyle name="20% - Accent3 9" xfId="1070"/>
    <cellStyle name="20% - Accent3 9 2" xfId="1071"/>
    <cellStyle name="20% - Accent3 9 3" xfId="1072"/>
    <cellStyle name="20% - Accent3 9 4" xfId="1073"/>
    <cellStyle name="20% - Accent3 9 5" xfId="1074"/>
    <cellStyle name="20% - Accent3 9 6" xfId="1075"/>
    <cellStyle name="20% - Accent4" xfId="32" builtinId="42" customBuiltin="1"/>
    <cellStyle name="20% - Accent4 10" xfId="1076"/>
    <cellStyle name="20% - Accent4 10 2" xfId="1077"/>
    <cellStyle name="20% - Accent4 10 3" xfId="1078"/>
    <cellStyle name="20% - Accent4 10 4" xfId="1079"/>
    <cellStyle name="20% - Accent4 10 5" xfId="1080"/>
    <cellStyle name="20% - Accent4 10 6" xfId="1081"/>
    <cellStyle name="20% - Accent4 11" xfId="1082"/>
    <cellStyle name="20% - Accent4 11 2" xfId="1083"/>
    <cellStyle name="20% - Accent4 11 3" xfId="1084"/>
    <cellStyle name="20% - Accent4 11 4" xfId="1085"/>
    <cellStyle name="20% - Accent4 11 5" xfId="1086"/>
    <cellStyle name="20% - Accent4 11 6" xfId="1087"/>
    <cellStyle name="20% - Accent4 12" xfId="1088"/>
    <cellStyle name="20% - Accent4 12 2" xfId="1089"/>
    <cellStyle name="20% - Accent4 12 3" xfId="1090"/>
    <cellStyle name="20% - Accent4 12 4" xfId="1091"/>
    <cellStyle name="20% - Accent4 12 5" xfId="1092"/>
    <cellStyle name="20% - Accent4 12 6" xfId="1093"/>
    <cellStyle name="20% - Accent4 13" xfId="1094"/>
    <cellStyle name="20% - Accent4 13 2" xfId="1095"/>
    <cellStyle name="20% - Accent4 13 3" xfId="1096"/>
    <cellStyle name="20% - Accent4 13 4" xfId="1097"/>
    <cellStyle name="20% - Accent4 13 5" xfId="1098"/>
    <cellStyle name="20% - Accent4 13 6" xfId="1099"/>
    <cellStyle name="20% - Accent4 14" xfId="1100"/>
    <cellStyle name="20% - Accent4 14 2" xfId="1101"/>
    <cellStyle name="20% - Accent4 14 3" xfId="1102"/>
    <cellStyle name="20% - Accent4 14 4" xfId="1103"/>
    <cellStyle name="20% - Accent4 14 5" xfId="1104"/>
    <cellStyle name="20% - Accent4 14 6" xfId="1105"/>
    <cellStyle name="20% - Accent4 15" xfId="1106"/>
    <cellStyle name="20% - Accent4 15 2" xfId="1107"/>
    <cellStyle name="20% - Accent4 15 3" xfId="1108"/>
    <cellStyle name="20% - Accent4 15 4" xfId="1109"/>
    <cellStyle name="20% - Accent4 15 5" xfId="1110"/>
    <cellStyle name="20% - Accent4 15 6" xfId="1111"/>
    <cellStyle name="20% - Accent4 16" xfId="1112"/>
    <cellStyle name="20% - Accent4 16 2" xfId="1113"/>
    <cellStyle name="20% - Accent4 16 3" xfId="1114"/>
    <cellStyle name="20% - Accent4 16 4" xfId="1115"/>
    <cellStyle name="20% - Accent4 16 5" xfId="1116"/>
    <cellStyle name="20% - Accent4 16 6" xfId="1117"/>
    <cellStyle name="20% - Accent4 17" xfId="1118"/>
    <cellStyle name="20% - Accent4 17 2" xfId="1119"/>
    <cellStyle name="20% - Accent4 17 3" xfId="1120"/>
    <cellStyle name="20% - Accent4 17 4" xfId="1121"/>
    <cellStyle name="20% - Accent4 17 5" xfId="1122"/>
    <cellStyle name="20% - Accent4 17 6" xfId="1123"/>
    <cellStyle name="20% - Accent4 18" xfId="1124"/>
    <cellStyle name="20% - Accent4 18 2" xfId="1125"/>
    <cellStyle name="20% - Accent4 18 3" xfId="1126"/>
    <cellStyle name="20% - Accent4 18 4" xfId="1127"/>
    <cellStyle name="20% - Accent4 18 5" xfId="1128"/>
    <cellStyle name="20% - Accent4 18 6" xfId="1129"/>
    <cellStyle name="20% - Accent4 19" xfId="1130"/>
    <cellStyle name="20% - Accent4 19 2" xfId="1131"/>
    <cellStyle name="20% - Accent4 19 3" xfId="1132"/>
    <cellStyle name="20% - Accent4 19 4" xfId="1133"/>
    <cellStyle name="20% - Accent4 19 5" xfId="1134"/>
    <cellStyle name="20% - Accent4 19 6" xfId="1135"/>
    <cellStyle name="20% - Accent4 2" xfId="63"/>
    <cellStyle name="20% - Accent4 2 10" xfId="1136"/>
    <cellStyle name="20% - Accent4 2 11" xfId="1137"/>
    <cellStyle name="20% - Accent4 2 12" xfId="1138"/>
    <cellStyle name="20% - Accent4 2 13" xfId="1139"/>
    <cellStyle name="20% - Accent4 2 14" xfId="1140"/>
    <cellStyle name="20% - Accent4 2 15" xfId="1141"/>
    <cellStyle name="20% - Accent4 2 16" xfId="1142"/>
    <cellStyle name="20% - Accent4 2 17" xfId="1143"/>
    <cellStyle name="20% - Accent4 2 18" xfId="1144"/>
    <cellStyle name="20% - Accent4 2 2" xfId="310"/>
    <cellStyle name="20% - Accent4 2 2 2" xfId="1145"/>
    <cellStyle name="20% - Accent4 2 3" xfId="1146"/>
    <cellStyle name="20% - Accent4 2 4" xfId="1147"/>
    <cellStyle name="20% - Accent4 2 5" xfId="1148"/>
    <cellStyle name="20% - Accent4 2 6" xfId="1149"/>
    <cellStyle name="20% - Accent4 2 7" xfId="1150"/>
    <cellStyle name="20% - Accent4 2 8" xfId="1151"/>
    <cellStyle name="20% - Accent4 2 9" xfId="1152"/>
    <cellStyle name="20% - Accent4 20" xfId="1153"/>
    <cellStyle name="20% - Accent4 20 2" xfId="1154"/>
    <cellStyle name="20% - Accent4 20 3" xfId="1155"/>
    <cellStyle name="20% - Accent4 20 4" xfId="1156"/>
    <cellStyle name="20% - Accent4 20 5" xfId="1157"/>
    <cellStyle name="20% - Accent4 20 6" xfId="1158"/>
    <cellStyle name="20% - Accent4 21" xfId="1159"/>
    <cellStyle name="20% - Accent4 21 2" xfId="1160"/>
    <cellStyle name="20% - Accent4 21 3" xfId="1161"/>
    <cellStyle name="20% - Accent4 21 4" xfId="1162"/>
    <cellStyle name="20% - Accent4 21 5" xfId="1163"/>
    <cellStyle name="20% - Accent4 21 6" xfId="1164"/>
    <cellStyle name="20% - Accent4 22" xfId="1165"/>
    <cellStyle name="20% - Accent4 22 2" xfId="1166"/>
    <cellStyle name="20% - Accent4 22 3" xfId="1167"/>
    <cellStyle name="20% - Accent4 22 4" xfId="1168"/>
    <cellStyle name="20% - Accent4 22 5" xfId="1169"/>
    <cellStyle name="20% - Accent4 22 6" xfId="1170"/>
    <cellStyle name="20% - Accent4 23" xfId="1171"/>
    <cellStyle name="20% - Accent4 23 2" xfId="1172"/>
    <cellStyle name="20% - Accent4 23 3" xfId="1173"/>
    <cellStyle name="20% - Accent4 23 4" xfId="1174"/>
    <cellStyle name="20% - Accent4 23 5" xfId="1175"/>
    <cellStyle name="20% - Accent4 23 6" xfId="1176"/>
    <cellStyle name="20% - Accent4 24" xfId="1177"/>
    <cellStyle name="20% - Accent4 24 2" xfId="1178"/>
    <cellStyle name="20% - Accent4 24 3" xfId="1179"/>
    <cellStyle name="20% - Accent4 24 4" xfId="1180"/>
    <cellStyle name="20% - Accent4 24 5" xfId="1181"/>
    <cellStyle name="20% - Accent4 24 6" xfId="1182"/>
    <cellStyle name="20% - Accent4 25" xfId="1183"/>
    <cellStyle name="20% - Accent4 25 2" xfId="1184"/>
    <cellStyle name="20% - Accent4 25 3" xfId="1185"/>
    <cellStyle name="20% - Accent4 25 4" xfId="1186"/>
    <cellStyle name="20% - Accent4 25 5" xfId="1187"/>
    <cellStyle name="20% - Accent4 25 6" xfId="1188"/>
    <cellStyle name="20% - Accent4 26" xfId="1189"/>
    <cellStyle name="20% - Accent4 26 2" xfId="1190"/>
    <cellStyle name="20% - Accent4 26 3" xfId="1191"/>
    <cellStyle name="20% - Accent4 26 4" xfId="1192"/>
    <cellStyle name="20% - Accent4 26 5" xfId="1193"/>
    <cellStyle name="20% - Accent4 26 6" xfId="1194"/>
    <cellStyle name="20% - Accent4 27" xfId="1195"/>
    <cellStyle name="20% - Accent4 27 2" xfId="1196"/>
    <cellStyle name="20% - Accent4 27 3" xfId="1197"/>
    <cellStyle name="20% - Accent4 27 4" xfId="1198"/>
    <cellStyle name="20% - Accent4 27 5" xfId="1199"/>
    <cellStyle name="20% - Accent4 27 6" xfId="1200"/>
    <cellStyle name="20% - Accent4 28" xfId="1201"/>
    <cellStyle name="20% - Accent4 28 2" xfId="1202"/>
    <cellStyle name="20% - Accent4 28 3" xfId="1203"/>
    <cellStyle name="20% - Accent4 28 4" xfId="1204"/>
    <cellStyle name="20% - Accent4 28 5" xfId="1205"/>
    <cellStyle name="20% - Accent4 28 6" xfId="1206"/>
    <cellStyle name="20% - Accent4 29" xfId="1207"/>
    <cellStyle name="20% - Accent4 29 2" xfId="1208"/>
    <cellStyle name="20% - Accent4 29 3" xfId="1209"/>
    <cellStyle name="20% - Accent4 29 4" xfId="1210"/>
    <cellStyle name="20% - Accent4 29 5" xfId="1211"/>
    <cellStyle name="20% - Accent4 29 6" xfId="1212"/>
    <cellStyle name="20% - Accent4 3" xfId="245"/>
    <cellStyle name="20% - Accent4 3 2" xfId="1214"/>
    <cellStyle name="20% - Accent4 3 3" xfId="1215"/>
    <cellStyle name="20% - Accent4 3 4" xfId="1216"/>
    <cellStyle name="20% - Accent4 3 5" xfId="1217"/>
    <cellStyle name="20% - Accent4 3 6" xfId="1218"/>
    <cellStyle name="20% - Accent4 3 7" xfId="1213"/>
    <cellStyle name="20% - Accent4 3 8" xfId="3462"/>
    <cellStyle name="20% - Accent4 30" xfId="1219"/>
    <cellStyle name="20% - Accent4 30 2" xfId="1220"/>
    <cellStyle name="20% - Accent4 30 3" xfId="1221"/>
    <cellStyle name="20% - Accent4 30 4" xfId="1222"/>
    <cellStyle name="20% - Accent4 30 5" xfId="1223"/>
    <cellStyle name="20% - Accent4 30 6" xfId="1224"/>
    <cellStyle name="20% - Accent4 31" xfId="1225"/>
    <cellStyle name="20% - Accent4 31 2" xfId="1226"/>
    <cellStyle name="20% - Accent4 31 3" xfId="1227"/>
    <cellStyle name="20% - Accent4 31 4" xfId="1228"/>
    <cellStyle name="20% - Accent4 31 5" xfId="1229"/>
    <cellStyle name="20% - Accent4 31 6" xfId="1230"/>
    <cellStyle name="20% - Accent4 32" xfId="1231"/>
    <cellStyle name="20% - Accent4 32 2" xfId="1232"/>
    <cellStyle name="20% - Accent4 32 3" xfId="1233"/>
    <cellStyle name="20% - Accent4 32 4" xfId="1234"/>
    <cellStyle name="20% - Accent4 32 5" xfId="1235"/>
    <cellStyle name="20% - Accent4 32 6" xfId="1236"/>
    <cellStyle name="20% - Accent4 33" xfId="1237"/>
    <cellStyle name="20% - Accent4 33 2" xfId="1238"/>
    <cellStyle name="20% - Accent4 33 3" xfId="1239"/>
    <cellStyle name="20% - Accent4 33 4" xfId="1240"/>
    <cellStyle name="20% - Accent4 33 5" xfId="1241"/>
    <cellStyle name="20% - Accent4 33 6" xfId="1242"/>
    <cellStyle name="20% - Accent4 34" xfId="1243"/>
    <cellStyle name="20% - Accent4 34 2" xfId="1244"/>
    <cellStyle name="20% - Accent4 34 3" xfId="1245"/>
    <cellStyle name="20% - Accent4 34 4" xfId="1246"/>
    <cellStyle name="20% - Accent4 34 5" xfId="1247"/>
    <cellStyle name="20% - Accent4 34 6" xfId="1248"/>
    <cellStyle name="20% - Accent4 35" xfId="1249"/>
    <cellStyle name="20% - Accent4 35 2" xfId="1250"/>
    <cellStyle name="20% - Accent4 35 3" xfId="1251"/>
    <cellStyle name="20% - Accent4 35 4" xfId="1252"/>
    <cellStyle name="20% - Accent4 35 5" xfId="1253"/>
    <cellStyle name="20% - Accent4 35 6" xfId="1254"/>
    <cellStyle name="20% - Accent4 36" xfId="1255"/>
    <cellStyle name="20% - Accent4 36 2" xfId="1256"/>
    <cellStyle name="20% - Accent4 36 3" xfId="1257"/>
    <cellStyle name="20% - Accent4 36 4" xfId="1258"/>
    <cellStyle name="20% - Accent4 37" xfId="1259"/>
    <cellStyle name="20% - Accent4 37 2" xfId="1260"/>
    <cellStyle name="20% - Accent4 37 3" xfId="1261"/>
    <cellStyle name="20% - Accent4 37 4" xfId="1262"/>
    <cellStyle name="20% - Accent4 38" xfId="1263"/>
    <cellStyle name="20% - Accent4 38 2" xfId="1264"/>
    <cellStyle name="20% - Accent4 38 3" xfId="1265"/>
    <cellStyle name="20% - Accent4 38 4" xfId="1266"/>
    <cellStyle name="20% - Accent4 39" xfId="1267"/>
    <cellStyle name="20% - Accent4 39 2" xfId="1268"/>
    <cellStyle name="20% - Accent4 39 3" xfId="1269"/>
    <cellStyle name="20% - Accent4 39 4" xfId="1270"/>
    <cellStyle name="20% - Accent4 4" xfId="1271"/>
    <cellStyle name="20% - Accent4 4 2" xfId="1272"/>
    <cellStyle name="20% - Accent4 4 3" xfId="1273"/>
    <cellStyle name="20% - Accent4 4 4" xfId="1274"/>
    <cellStyle name="20% - Accent4 4 5" xfId="1275"/>
    <cellStyle name="20% - Accent4 4 6" xfId="1276"/>
    <cellStyle name="20% - Accent4 40" xfId="1277"/>
    <cellStyle name="20% - Accent4 40 2" xfId="1278"/>
    <cellStyle name="20% - Accent4 40 3" xfId="1279"/>
    <cellStyle name="20% - Accent4 5" xfId="1280"/>
    <cellStyle name="20% - Accent4 5 2" xfId="1281"/>
    <cellStyle name="20% - Accent4 5 3" xfId="1282"/>
    <cellStyle name="20% - Accent4 5 4" xfId="1283"/>
    <cellStyle name="20% - Accent4 5 5" xfId="1284"/>
    <cellStyle name="20% - Accent4 5 6" xfId="1285"/>
    <cellStyle name="20% - Accent4 6" xfId="1286"/>
    <cellStyle name="20% - Accent4 6 2" xfId="1287"/>
    <cellStyle name="20% - Accent4 6 3" xfId="1288"/>
    <cellStyle name="20% - Accent4 6 4" xfId="1289"/>
    <cellStyle name="20% - Accent4 6 5" xfId="1290"/>
    <cellStyle name="20% - Accent4 6 6" xfId="1291"/>
    <cellStyle name="20% - Accent4 7" xfId="1292"/>
    <cellStyle name="20% - Accent4 7 2" xfId="1293"/>
    <cellStyle name="20% - Accent4 7 3" xfId="1294"/>
    <cellStyle name="20% - Accent4 7 4" xfId="1295"/>
    <cellStyle name="20% - Accent4 7 5" xfId="1296"/>
    <cellStyle name="20% - Accent4 7 6" xfId="1297"/>
    <cellStyle name="20% - Accent4 8" xfId="1298"/>
    <cellStyle name="20% - Accent4 8 2" xfId="1299"/>
    <cellStyle name="20% - Accent4 8 3" xfId="1300"/>
    <cellStyle name="20% - Accent4 8 4" xfId="1301"/>
    <cellStyle name="20% - Accent4 8 5" xfId="1302"/>
    <cellStyle name="20% - Accent4 8 6" xfId="1303"/>
    <cellStyle name="20% - Accent4 9" xfId="1304"/>
    <cellStyle name="20% - Accent4 9 2" xfId="1305"/>
    <cellStyle name="20% - Accent4 9 3" xfId="1306"/>
    <cellStyle name="20% - Accent4 9 4" xfId="1307"/>
    <cellStyle name="20% - Accent4 9 5" xfId="1308"/>
    <cellStyle name="20% - Accent4 9 6" xfId="1309"/>
    <cellStyle name="20% - Accent5" xfId="36" builtinId="46" customBuiltin="1"/>
    <cellStyle name="20% - Accent5 10" xfId="1310"/>
    <cellStyle name="20% - Accent5 10 2" xfId="1311"/>
    <cellStyle name="20% - Accent5 10 3" xfId="1312"/>
    <cellStyle name="20% - Accent5 10 4" xfId="1313"/>
    <cellStyle name="20% - Accent5 10 5" xfId="1314"/>
    <cellStyle name="20% - Accent5 10 6" xfId="1315"/>
    <cellStyle name="20% - Accent5 11" xfId="1316"/>
    <cellStyle name="20% - Accent5 11 2" xfId="1317"/>
    <cellStyle name="20% - Accent5 11 3" xfId="1318"/>
    <cellStyle name="20% - Accent5 11 4" xfId="1319"/>
    <cellStyle name="20% - Accent5 11 5" xfId="1320"/>
    <cellStyle name="20% - Accent5 11 6" xfId="1321"/>
    <cellStyle name="20% - Accent5 12" xfId="1322"/>
    <cellStyle name="20% - Accent5 12 2" xfId="1323"/>
    <cellStyle name="20% - Accent5 12 3" xfId="1324"/>
    <cellStyle name="20% - Accent5 12 4" xfId="1325"/>
    <cellStyle name="20% - Accent5 12 5" xfId="1326"/>
    <cellStyle name="20% - Accent5 12 6" xfId="1327"/>
    <cellStyle name="20% - Accent5 13" xfId="1328"/>
    <cellStyle name="20% - Accent5 13 2" xfId="1329"/>
    <cellStyle name="20% - Accent5 13 3" xfId="1330"/>
    <cellStyle name="20% - Accent5 13 4" xfId="1331"/>
    <cellStyle name="20% - Accent5 13 5" xfId="1332"/>
    <cellStyle name="20% - Accent5 13 6" xfId="1333"/>
    <cellStyle name="20% - Accent5 14" xfId="1334"/>
    <cellStyle name="20% - Accent5 14 2" xfId="1335"/>
    <cellStyle name="20% - Accent5 14 3" xfId="1336"/>
    <cellStyle name="20% - Accent5 14 4" xfId="1337"/>
    <cellStyle name="20% - Accent5 14 5" xfId="1338"/>
    <cellStyle name="20% - Accent5 14 6" xfId="1339"/>
    <cellStyle name="20% - Accent5 15" xfId="1340"/>
    <cellStyle name="20% - Accent5 15 2" xfId="1341"/>
    <cellStyle name="20% - Accent5 15 3" xfId="1342"/>
    <cellStyle name="20% - Accent5 15 4" xfId="1343"/>
    <cellStyle name="20% - Accent5 15 5" xfId="1344"/>
    <cellStyle name="20% - Accent5 15 6" xfId="1345"/>
    <cellStyle name="20% - Accent5 16" xfId="1346"/>
    <cellStyle name="20% - Accent5 16 2" xfId="1347"/>
    <cellStyle name="20% - Accent5 16 3" xfId="1348"/>
    <cellStyle name="20% - Accent5 16 4" xfId="1349"/>
    <cellStyle name="20% - Accent5 16 5" xfId="1350"/>
    <cellStyle name="20% - Accent5 16 6" xfId="1351"/>
    <cellStyle name="20% - Accent5 17" xfId="1352"/>
    <cellStyle name="20% - Accent5 17 2" xfId="1353"/>
    <cellStyle name="20% - Accent5 17 3" xfId="1354"/>
    <cellStyle name="20% - Accent5 17 4" xfId="1355"/>
    <cellStyle name="20% - Accent5 17 5" xfId="1356"/>
    <cellStyle name="20% - Accent5 17 6" xfId="1357"/>
    <cellStyle name="20% - Accent5 18" xfId="1358"/>
    <cellStyle name="20% - Accent5 18 2" xfId="1359"/>
    <cellStyle name="20% - Accent5 18 3" xfId="1360"/>
    <cellStyle name="20% - Accent5 18 4" xfId="1361"/>
    <cellStyle name="20% - Accent5 18 5" xfId="1362"/>
    <cellStyle name="20% - Accent5 18 6" xfId="1363"/>
    <cellStyle name="20% - Accent5 19" xfId="1364"/>
    <cellStyle name="20% - Accent5 19 2" xfId="1365"/>
    <cellStyle name="20% - Accent5 19 3" xfId="1366"/>
    <cellStyle name="20% - Accent5 19 4" xfId="1367"/>
    <cellStyle name="20% - Accent5 19 5" xfId="1368"/>
    <cellStyle name="20% - Accent5 19 6" xfId="1369"/>
    <cellStyle name="20% - Accent5 2" xfId="54"/>
    <cellStyle name="20% - Accent5 2 10" xfId="1370"/>
    <cellStyle name="20% - Accent5 2 11" xfId="1371"/>
    <cellStyle name="20% - Accent5 2 12" xfId="1372"/>
    <cellStyle name="20% - Accent5 2 13" xfId="1373"/>
    <cellStyle name="20% - Accent5 2 14" xfId="1374"/>
    <cellStyle name="20% - Accent5 2 15" xfId="1375"/>
    <cellStyle name="20% - Accent5 2 16" xfId="1376"/>
    <cellStyle name="20% - Accent5 2 17" xfId="1377"/>
    <cellStyle name="20% - Accent5 2 18" xfId="1378"/>
    <cellStyle name="20% - Accent5 2 2" xfId="311"/>
    <cellStyle name="20% - Accent5 2 2 2" xfId="1379"/>
    <cellStyle name="20% - Accent5 2 3" xfId="1380"/>
    <cellStyle name="20% - Accent5 2 4" xfId="1381"/>
    <cellStyle name="20% - Accent5 2 5" xfId="1382"/>
    <cellStyle name="20% - Accent5 2 6" xfId="1383"/>
    <cellStyle name="20% - Accent5 2 7" xfId="1384"/>
    <cellStyle name="20% - Accent5 2 8" xfId="1385"/>
    <cellStyle name="20% - Accent5 2 9" xfId="1386"/>
    <cellStyle name="20% - Accent5 20" xfId="1387"/>
    <cellStyle name="20% - Accent5 20 2" xfId="1388"/>
    <cellStyle name="20% - Accent5 20 3" xfId="1389"/>
    <cellStyle name="20% - Accent5 20 4" xfId="1390"/>
    <cellStyle name="20% - Accent5 20 5" xfId="1391"/>
    <cellStyle name="20% - Accent5 20 6" xfId="1392"/>
    <cellStyle name="20% - Accent5 21" xfId="1393"/>
    <cellStyle name="20% - Accent5 21 2" xfId="1394"/>
    <cellStyle name="20% - Accent5 21 3" xfId="1395"/>
    <cellStyle name="20% - Accent5 21 4" xfId="1396"/>
    <cellStyle name="20% - Accent5 21 5" xfId="1397"/>
    <cellStyle name="20% - Accent5 21 6" xfId="1398"/>
    <cellStyle name="20% - Accent5 22" xfId="1399"/>
    <cellStyle name="20% - Accent5 22 2" xfId="1400"/>
    <cellStyle name="20% - Accent5 22 3" xfId="1401"/>
    <cellStyle name="20% - Accent5 22 4" xfId="1402"/>
    <cellStyle name="20% - Accent5 22 5" xfId="1403"/>
    <cellStyle name="20% - Accent5 22 6" xfId="1404"/>
    <cellStyle name="20% - Accent5 23" xfId="1405"/>
    <cellStyle name="20% - Accent5 23 2" xfId="1406"/>
    <cellStyle name="20% - Accent5 23 3" xfId="1407"/>
    <cellStyle name="20% - Accent5 23 4" xfId="1408"/>
    <cellStyle name="20% - Accent5 23 5" xfId="1409"/>
    <cellStyle name="20% - Accent5 23 6" xfId="1410"/>
    <cellStyle name="20% - Accent5 24" xfId="1411"/>
    <cellStyle name="20% - Accent5 24 2" xfId="1412"/>
    <cellStyle name="20% - Accent5 24 3" xfId="1413"/>
    <cellStyle name="20% - Accent5 24 4" xfId="1414"/>
    <cellStyle name="20% - Accent5 24 5" xfId="1415"/>
    <cellStyle name="20% - Accent5 24 6" xfId="1416"/>
    <cellStyle name="20% - Accent5 25" xfId="1417"/>
    <cellStyle name="20% - Accent5 25 2" xfId="1418"/>
    <cellStyle name="20% - Accent5 25 3" xfId="1419"/>
    <cellStyle name="20% - Accent5 25 4" xfId="1420"/>
    <cellStyle name="20% - Accent5 25 5" xfId="1421"/>
    <cellStyle name="20% - Accent5 25 6" xfId="1422"/>
    <cellStyle name="20% - Accent5 26" xfId="1423"/>
    <cellStyle name="20% - Accent5 26 2" xfId="1424"/>
    <cellStyle name="20% - Accent5 26 3" xfId="1425"/>
    <cellStyle name="20% - Accent5 26 4" xfId="1426"/>
    <cellStyle name="20% - Accent5 26 5" xfId="1427"/>
    <cellStyle name="20% - Accent5 26 6" xfId="1428"/>
    <cellStyle name="20% - Accent5 27" xfId="1429"/>
    <cellStyle name="20% - Accent5 27 2" xfId="1430"/>
    <cellStyle name="20% - Accent5 27 3" xfId="1431"/>
    <cellStyle name="20% - Accent5 27 4" xfId="1432"/>
    <cellStyle name="20% - Accent5 27 5" xfId="1433"/>
    <cellStyle name="20% - Accent5 27 6" xfId="1434"/>
    <cellStyle name="20% - Accent5 28" xfId="1435"/>
    <cellStyle name="20% - Accent5 28 2" xfId="1436"/>
    <cellStyle name="20% - Accent5 28 3" xfId="1437"/>
    <cellStyle name="20% - Accent5 28 4" xfId="1438"/>
    <cellStyle name="20% - Accent5 28 5" xfId="1439"/>
    <cellStyle name="20% - Accent5 28 6" xfId="1440"/>
    <cellStyle name="20% - Accent5 29" xfId="1441"/>
    <cellStyle name="20% - Accent5 29 2" xfId="1442"/>
    <cellStyle name="20% - Accent5 29 3" xfId="1443"/>
    <cellStyle name="20% - Accent5 29 4" xfId="1444"/>
    <cellStyle name="20% - Accent5 29 5" xfId="1445"/>
    <cellStyle name="20% - Accent5 29 6" xfId="1446"/>
    <cellStyle name="20% - Accent5 3" xfId="246"/>
    <cellStyle name="20% - Accent5 3 2" xfId="1448"/>
    <cellStyle name="20% - Accent5 3 3" xfId="1449"/>
    <cellStyle name="20% - Accent5 3 4" xfId="1450"/>
    <cellStyle name="20% - Accent5 3 5" xfId="1451"/>
    <cellStyle name="20% - Accent5 3 6" xfId="1452"/>
    <cellStyle name="20% - Accent5 3 7" xfId="1447"/>
    <cellStyle name="20% - Accent5 3 8" xfId="3463"/>
    <cellStyle name="20% - Accent5 30" xfId="1453"/>
    <cellStyle name="20% - Accent5 30 2" xfId="1454"/>
    <cellStyle name="20% - Accent5 30 3" xfId="1455"/>
    <cellStyle name="20% - Accent5 30 4" xfId="1456"/>
    <cellStyle name="20% - Accent5 30 5" xfId="1457"/>
    <cellStyle name="20% - Accent5 30 6" xfId="1458"/>
    <cellStyle name="20% - Accent5 31" xfId="1459"/>
    <cellStyle name="20% - Accent5 31 2" xfId="1460"/>
    <cellStyle name="20% - Accent5 31 3" xfId="1461"/>
    <cellStyle name="20% - Accent5 31 4" xfId="1462"/>
    <cellStyle name="20% - Accent5 31 5" xfId="1463"/>
    <cellStyle name="20% - Accent5 31 6" xfId="1464"/>
    <cellStyle name="20% - Accent5 32" xfId="1465"/>
    <cellStyle name="20% - Accent5 32 2" xfId="1466"/>
    <cellStyle name="20% - Accent5 32 3" xfId="1467"/>
    <cellStyle name="20% - Accent5 32 4" xfId="1468"/>
    <cellStyle name="20% - Accent5 32 5" xfId="1469"/>
    <cellStyle name="20% - Accent5 32 6" xfId="1470"/>
    <cellStyle name="20% - Accent5 33" xfId="1471"/>
    <cellStyle name="20% - Accent5 33 2" xfId="1472"/>
    <cellStyle name="20% - Accent5 33 3" xfId="1473"/>
    <cellStyle name="20% - Accent5 33 4" xfId="1474"/>
    <cellStyle name="20% - Accent5 33 5" xfId="1475"/>
    <cellStyle name="20% - Accent5 33 6" xfId="1476"/>
    <cellStyle name="20% - Accent5 34" xfId="1477"/>
    <cellStyle name="20% - Accent5 34 2" xfId="1478"/>
    <cellStyle name="20% - Accent5 34 3" xfId="1479"/>
    <cellStyle name="20% - Accent5 34 4" xfId="1480"/>
    <cellStyle name="20% - Accent5 34 5" xfId="1481"/>
    <cellStyle name="20% - Accent5 34 6" xfId="1482"/>
    <cellStyle name="20% - Accent5 35" xfId="1483"/>
    <cellStyle name="20% - Accent5 35 2" xfId="1484"/>
    <cellStyle name="20% - Accent5 35 3" xfId="1485"/>
    <cellStyle name="20% - Accent5 35 4" xfId="1486"/>
    <cellStyle name="20% - Accent5 35 5" xfId="1487"/>
    <cellStyle name="20% - Accent5 35 6" xfId="1488"/>
    <cellStyle name="20% - Accent5 36" xfId="1489"/>
    <cellStyle name="20% - Accent5 36 2" xfId="1490"/>
    <cellStyle name="20% - Accent5 36 3" xfId="1491"/>
    <cellStyle name="20% - Accent5 36 4" xfId="1492"/>
    <cellStyle name="20% - Accent5 37" xfId="1493"/>
    <cellStyle name="20% - Accent5 37 2" xfId="1494"/>
    <cellStyle name="20% - Accent5 37 3" xfId="1495"/>
    <cellStyle name="20% - Accent5 37 4" xfId="1496"/>
    <cellStyle name="20% - Accent5 38" xfId="1497"/>
    <cellStyle name="20% - Accent5 38 2" xfId="1498"/>
    <cellStyle name="20% - Accent5 38 3" xfId="1499"/>
    <cellStyle name="20% - Accent5 38 4" xfId="1500"/>
    <cellStyle name="20% - Accent5 39" xfId="1501"/>
    <cellStyle name="20% - Accent5 39 2" xfId="1502"/>
    <cellStyle name="20% - Accent5 39 3" xfId="1503"/>
    <cellStyle name="20% - Accent5 39 4" xfId="1504"/>
    <cellStyle name="20% - Accent5 4" xfId="1505"/>
    <cellStyle name="20% - Accent5 4 2" xfId="1506"/>
    <cellStyle name="20% - Accent5 4 3" xfId="1507"/>
    <cellStyle name="20% - Accent5 4 4" xfId="1508"/>
    <cellStyle name="20% - Accent5 4 5" xfId="1509"/>
    <cellStyle name="20% - Accent5 4 6" xfId="1510"/>
    <cellStyle name="20% - Accent5 40" xfId="1511"/>
    <cellStyle name="20% - Accent5 40 2" xfId="1512"/>
    <cellStyle name="20% - Accent5 40 3" xfId="1513"/>
    <cellStyle name="20% - Accent5 5" xfId="1514"/>
    <cellStyle name="20% - Accent5 5 2" xfId="1515"/>
    <cellStyle name="20% - Accent5 5 3" xfId="1516"/>
    <cellStyle name="20% - Accent5 5 4" xfId="1517"/>
    <cellStyle name="20% - Accent5 5 5" xfId="1518"/>
    <cellStyle name="20% - Accent5 5 6" xfId="1519"/>
    <cellStyle name="20% - Accent5 6" xfId="1520"/>
    <cellStyle name="20% - Accent5 6 2" xfId="1521"/>
    <cellStyle name="20% - Accent5 6 3" xfId="1522"/>
    <cellStyle name="20% - Accent5 6 4" xfId="1523"/>
    <cellStyle name="20% - Accent5 6 5" xfId="1524"/>
    <cellStyle name="20% - Accent5 6 6" xfId="1525"/>
    <cellStyle name="20% - Accent5 7" xfId="1526"/>
    <cellStyle name="20% - Accent5 7 2" xfId="1527"/>
    <cellStyle name="20% - Accent5 7 3" xfId="1528"/>
    <cellStyle name="20% - Accent5 7 4" xfId="1529"/>
    <cellStyle name="20% - Accent5 7 5" xfId="1530"/>
    <cellStyle name="20% - Accent5 7 6" xfId="1531"/>
    <cellStyle name="20% - Accent5 8" xfId="1532"/>
    <cellStyle name="20% - Accent5 8 2" xfId="1533"/>
    <cellStyle name="20% - Accent5 8 3" xfId="1534"/>
    <cellStyle name="20% - Accent5 8 4" xfId="1535"/>
    <cellStyle name="20% - Accent5 8 5" xfId="1536"/>
    <cellStyle name="20% - Accent5 8 6" xfId="1537"/>
    <cellStyle name="20% - Accent5 9" xfId="1538"/>
    <cellStyle name="20% - Accent5 9 2" xfId="1539"/>
    <cellStyle name="20% - Accent5 9 3" xfId="1540"/>
    <cellStyle name="20% - Accent5 9 4" xfId="1541"/>
    <cellStyle name="20% - Accent5 9 5" xfId="1542"/>
    <cellStyle name="20% - Accent5 9 6" xfId="1543"/>
    <cellStyle name="20% - Accent6" xfId="40" builtinId="50" customBuiltin="1"/>
    <cellStyle name="20% - Accent6 10" xfId="1544"/>
    <cellStyle name="20% - Accent6 10 2" xfId="1545"/>
    <cellStyle name="20% - Accent6 10 3" xfId="1546"/>
    <cellStyle name="20% - Accent6 10 4" xfId="1547"/>
    <cellStyle name="20% - Accent6 10 5" xfId="1548"/>
    <cellStyle name="20% - Accent6 10 6" xfId="1549"/>
    <cellStyle name="20% - Accent6 11" xfId="1550"/>
    <cellStyle name="20% - Accent6 11 2" xfId="1551"/>
    <cellStyle name="20% - Accent6 11 3" xfId="1552"/>
    <cellStyle name="20% - Accent6 11 4" xfId="1553"/>
    <cellStyle name="20% - Accent6 11 5" xfId="1554"/>
    <cellStyle name="20% - Accent6 11 6" xfId="1555"/>
    <cellStyle name="20% - Accent6 12" xfId="1556"/>
    <cellStyle name="20% - Accent6 12 2" xfId="1557"/>
    <cellStyle name="20% - Accent6 12 3" xfId="1558"/>
    <cellStyle name="20% - Accent6 12 4" xfId="1559"/>
    <cellStyle name="20% - Accent6 12 5" xfId="1560"/>
    <cellStyle name="20% - Accent6 12 6" xfId="1561"/>
    <cellStyle name="20% - Accent6 13" xfId="1562"/>
    <cellStyle name="20% - Accent6 13 2" xfId="1563"/>
    <cellStyle name="20% - Accent6 13 3" xfId="1564"/>
    <cellStyle name="20% - Accent6 13 4" xfId="1565"/>
    <cellStyle name="20% - Accent6 13 5" xfId="1566"/>
    <cellStyle name="20% - Accent6 13 6" xfId="1567"/>
    <cellStyle name="20% - Accent6 14" xfId="1568"/>
    <cellStyle name="20% - Accent6 14 2" xfId="1569"/>
    <cellStyle name="20% - Accent6 14 3" xfId="1570"/>
    <cellStyle name="20% - Accent6 14 4" xfId="1571"/>
    <cellStyle name="20% - Accent6 14 5" xfId="1572"/>
    <cellStyle name="20% - Accent6 14 6" xfId="1573"/>
    <cellStyle name="20% - Accent6 15" xfId="1574"/>
    <cellStyle name="20% - Accent6 15 2" xfId="1575"/>
    <cellStyle name="20% - Accent6 15 3" xfId="1576"/>
    <cellStyle name="20% - Accent6 15 4" xfId="1577"/>
    <cellStyle name="20% - Accent6 15 5" xfId="1578"/>
    <cellStyle name="20% - Accent6 15 6" xfId="1579"/>
    <cellStyle name="20% - Accent6 16" xfId="1580"/>
    <cellStyle name="20% - Accent6 16 2" xfId="1581"/>
    <cellStyle name="20% - Accent6 16 3" xfId="1582"/>
    <cellStyle name="20% - Accent6 16 4" xfId="1583"/>
    <cellStyle name="20% - Accent6 16 5" xfId="1584"/>
    <cellStyle name="20% - Accent6 16 6" xfId="1585"/>
    <cellStyle name="20% - Accent6 17" xfId="1586"/>
    <cellStyle name="20% - Accent6 17 2" xfId="1587"/>
    <cellStyle name="20% - Accent6 17 3" xfId="1588"/>
    <cellStyle name="20% - Accent6 17 4" xfId="1589"/>
    <cellStyle name="20% - Accent6 17 5" xfId="1590"/>
    <cellStyle name="20% - Accent6 17 6" xfId="1591"/>
    <cellStyle name="20% - Accent6 18" xfId="1592"/>
    <cellStyle name="20% - Accent6 18 2" xfId="1593"/>
    <cellStyle name="20% - Accent6 18 3" xfId="1594"/>
    <cellStyle name="20% - Accent6 18 4" xfId="1595"/>
    <cellStyle name="20% - Accent6 18 5" xfId="1596"/>
    <cellStyle name="20% - Accent6 18 6" xfId="1597"/>
    <cellStyle name="20% - Accent6 19" xfId="1598"/>
    <cellStyle name="20% - Accent6 19 2" xfId="1599"/>
    <cellStyle name="20% - Accent6 19 3" xfId="1600"/>
    <cellStyle name="20% - Accent6 19 4" xfId="1601"/>
    <cellStyle name="20% - Accent6 19 5" xfId="1602"/>
    <cellStyle name="20% - Accent6 19 6" xfId="1603"/>
    <cellStyle name="20% - Accent6 2" xfId="47"/>
    <cellStyle name="20% - Accent6 2 10" xfId="1604"/>
    <cellStyle name="20% - Accent6 2 11" xfId="1605"/>
    <cellStyle name="20% - Accent6 2 12" xfId="1606"/>
    <cellStyle name="20% - Accent6 2 13" xfId="1607"/>
    <cellStyle name="20% - Accent6 2 14" xfId="1608"/>
    <cellStyle name="20% - Accent6 2 15" xfId="1609"/>
    <cellStyle name="20% - Accent6 2 16" xfId="1610"/>
    <cellStyle name="20% - Accent6 2 17" xfId="1611"/>
    <cellStyle name="20% - Accent6 2 18" xfId="1612"/>
    <cellStyle name="20% - Accent6 2 2" xfId="312"/>
    <cellStyle name="20% - Accent6 2 2 2" xfId="1613"/>
    <cellStyle name="20% - Accent6 2 3" xfId="1614"/>
    <cellStyle name="20% - Accent6 2 4" xfId="1615"/>
    <cellStyle name="20% - Accent6 2 5" xfId="1616"/>
    <cellStyle name="20% - Accent6 2 6" xfId="1617"/>
    <cellStyle name="20% - Accent6 2 7" xfId="1618"/>
    <cellStyle name="20% - Accent6 2 8" xfId="1619"/>
    <cellStyle name="20% - Accent6 2 9" xfId="1620"/>
    <cellStyle name="20% - Accent6 20" xfId="1621"/>
    <cellStyle name="20% - Accent6 20 2" xfId="1622"/>
    <cellStyle name="20% - Accent6 20 3" xfId="1623"/>
    <cellStyle name="20% - Accent6 20 4" xfId="1624"/>
    <cellStyle name="20% - Accent6 20 5" xfId="1625"/>
    <cellStyle name="20% - Accent6 20 6" xfId="1626"/>
    <cellStyle name="20% - Accent6 21" xfId="1627"/>
    <cellStyle name="20% - Accent6 21 2" xfId="1628"/>
    <cellStyle name="20% - Accent6 21 3" xfId="1629"/>
    <cellStyle name="20% - Accent6 21 4" xfId="1630"/>
    <cellStyle name="20% - Accent6 21 5" xfId="1631"/>
    <cellStyle name="20% - Accent6 21 6" xfId="1632"/>
    <cellStyle name="20% - Accent6 22" xfId="1633"/>
    <cellStyle name="20% - Accent6 22 2" xfId="1634"/>
    <cellStyle name="20% - Accent6 22 3" xfId="1635"/>
    <cellStyle name="20% - Accent6 22 4" xfId="1636"/>
    <cellStyle name="20% - Accent6 22 5" xfId="1637"/>
    <cellStyle name="20% - Accent6 22 6" xfId="1638"/>
    <cellStyle name="20% - Accent6 23" xfId="1639"/>
    <cellStyle name="20% - Accent6 23 2" xfId="1640"/>
    <cellStyle name="20% - Accent6 23 3" xfId="1641"/>
    <cellStyle name="20% - Accent6 23 4" xfId="1642"/>
    <cellStyle name="20% - Accent6 23 5" xfId="1643"/>
    <cellStyle name="20% - Accent6 23 6" xfId="1644"/>
    <cellStyle name="20% - Accent6 24" xfId="1645"/>
    <cellStyle name="20% - Accent6 24 2" xfId="1646"/>
    <cellStyle name="20% - Accent6 24 3" xfId="1647"/>
    <cellStyle name="20% - Accent6 24 4" xfId="1648"/>
    <cellStyle name="20% - Accent6 24 5" xfId="1649"/>
    <cellStyle name="20% - Accent6 24 6" xfId="1650"/>
    <cellStyle name="20% - Accent6 25" xfId="1651"/>
    <cellStyle name="20% - Accent6 25 2" xfId="1652"/>
    <cellStyle name="20% - Accent6 25 3" xfId="1653"/>
    <cellStyle name="20% - Accent6 25 4" xfId="1654"/>
    <cellStyle name="20% - Accent6 25 5" xfId="1655"/>
    <cellStyle name="20% - Accent6 25 6" xfId="1656"/>
    <cellStyle name="20% - Accent6 26" xfId="1657"/>
    <cellStyle name="20% - Accent6 26 2" xfId="1658"/>
    <cellStyle name="20% - Accent6 26 3" xfId="1659"/>
    <cellStyle name="20% - Accent6 26 4" xfId="1660"/>
    <cellStyle name="20% - Accent6 26 5" xfId="1661"/>
    <cellStyle name="20% - Accent6 26 6" xfId="1662"/>
    <cellStyle name="20% - Accent6 27" xfId="1663"/>
    <cellStyle name="20% - Accent6 27 2" xfId="1664"/>
    <cellStyle name="20% - Accent6 27 3" xfId="1665"/>
    <cellStyle name="20% - Accent6 27 4" xfId="1666"/>
    <cellStyle name="20% - Accent6 27 5" xfId="1667"/>
    <cellStyle name="20% - Accent6 27 6" xfId="1668"/>
    <cellStyle name="20% - Accent6 28" xfId="1669"/>
    <cellStyle name="20% - Accent6 28 2" xfId="1670"/>
    <cellStyle name="20% - Accent6 28 3" xfId="1671"/>
    <cellStyle name="20% - Accent6 28 4" xfId="1672"/>
    <cellStyle name="20% - Accent6 28 5" xfId="1673"/>
    <cellStyle name="20% - Accent6 28 6" xfId="1674"/>
    <cellStyle name="20% - Accent6 29" xfId="1675"/>
    <cellStyle name="20% - Accent6 29 2" xfId="1676"/>
    <cellStyle name="20% - Accent6 29 3" xfId="1677"/>
    <cellStyle name="20% - Accent6 29 4" xfId="1678"/>
    <cellStyle name="20% - Accent6 29 5" xfId="1679"/>
    <cellStyle name="20% - Accent6 29 6" xfId="1680"/>
    <cellStyle name="20% - Accent6 3" xfId="247"/>
    <cellStyle name="20% - Accent6 3 2" xfId="1682"/>
    <cellStyle name="20% - Accent6 3 3" xfId="1683"/>
    <cellStyle name="20% - Accent6 3 4" xfId="1684"/>
    <cellStyle name="20% - Accent6 3 5" xfId="1685"/>
    <cellStyle name="20% - Accent6 3 6" xfId="1686"/>
    <cellStyle name="20% - Accent6 3 7" xfId="1681"/>
    <cellStyle name="20% - Accent6 3 8" xfId="3465"/>
    <cellStyle name="20% - Accent6 30" xfId="1687"/>
    <cellStyle name="20% - Accent6 30 2" xfId="1688"/>
    <cellStyle name="20% - Accent6 30 3" xfId="1689"/>
    <cellStyle name="20% - Accent6 30 4" xfId="1690"/>
    <cellStyle name="20% - Accent6 30 5" xfId="1691"/>
    <cellStyle name="20% - Accent6 30 6" xfId="1692"/>
    <cellStyle name="20% - Accent6 31" xfId="1693"/>
    <cellStyle name="20% - Accent6 31 2" xfId="1694"/>
    <cellStyle name="20% - Accent6 31 3" xfId="1695"/>
    <cellStyle name="20% - Accent6 31 4" xfId="1696"/>
    <cellStyle name="20% - Accent6 31 5" xfId="1697"/>
    <cellStyle name="20% - Accent6 31 6" xfId="1698"/>
    <cellStyle name="20% - Accent6 32" xfId="1699"/>
    <cellStyle name="20% - Accent6 32 2" xfId="1700"/>
    <cellStyle name="20% - Accent6 32 3" xfId="1701"/>
    <cellStyle name="20% - Accent6 32 4" xfId="1702"/>
    <cellStyle name="20% - Accent6 32 5" xfId="1703"/>
    <cellStyle name="20% - Accent6 32 6" xfId="1704"/>
    <cellStyle name="20% - Accent6 33" xfId="1705"/>
    <cellStyle name="20% - Accent6 33 2" xfId="1706"/>
    <cellStyle name="20% - Accent6 33 3" xfId="1707"/>
    <cellStyle name="20% - Accent6 33 4" xfId="1708"/>
    <cellStyle name="20% - Accent6 33 5" xfId="1709"/>
    <cellStyle name="20% - Accent6 33 6" xfId="1710"/>
    <cellStyle name="20% - Accent6 34" xfId="1711"/>
    <cellStyle name="20% - Accent6 34 2" xfId="1712"/>
    <cellStyle name="20% - Accent6 34 3" xfId="1713"/>
    <cellStyle name="20% - Accent6 34 4" xfId="1714"/>
    <cellStyle name="20% - Accent6 34 5" xfId="1715"/>
    <cellStyle name="20% - Accent6 34 6" xfId="1716"/>
    <cellStyle name="20% - Accent6 35" xfId="1717"/>
    <cellStyle name="20% - Accent6 35 2" xfId="1718"/>
    <cellStyle name="20% - Accent6 35 3" xfId="1719"/>
    <cellStyle name="20% - Accent6 35 4" xfId="1720"/>
    <cellStyle name="20% - Accent6 35 5" xfId="1721"/>
    <cellStyle name="20% - Accent6 35 6" xfId="1722"/>
    <cellStyle name="20% - Accent6 36" xfId="1723"/>
    <cellStyle name="20% - Accent6 36 2" xfId="1724"/>
    <cellStyle name="20% - Accent6 36 3" xfId="1725"/>
    <cellStyle name="20% - Accent6 36 4" xfId="1726"/>
    <cellStyle name="20% - Accent6 37" xfId="1727"/>
    <cellStyle name="20% - Accent6 37 2" xfId="1728"/>
    <cellStyle name="20% - Accent6 37 3" xfId="1729"/>
    <cellStyle name="20% - Accent6 37 4" xfId="1730"/>
    <cellStyle name="20% - Accent6 38" xfId="1731"/>
    <cellStyle name="20% - Accent6 38 2" xfId="1732"/>
    <cellStyle name="20% - Accent6 38 3" xfId="1733"/>
    <cellStyle name="20% - Accent6 38 4" xfId="1734"/>
    <cellStyle name="20% - Accent6 39" xfId="1735"/>
    <cellStyle name="20% - Accent6 39 2" xfId="1736"/>
    <cellStyle name="20% - Accent6 39 3" xfId="1737"/>
    <cellStyle name="20% - Accent6 39 4" xfId="1738"/>
    <cellStyle name="20% - Accent6 4" xfId="1739"/>
    <cellStyle name="20% - Accent6 4 2" xfId="1740"/>
    <cellStyle name="20% - Accent6 4 3" xfId="1741"/>
    <cellStyle name="20% - Accent6 4 4" xfId="1742"/>
    <cellStyle name="20% - Accent6 4 5" xfId="1743"/>
    <cellStyle name="20% - Accent6 4 6" xfId="1744"/>
    <cellStyle name="20% - Accent6 40" xfId="1745"/>
    <cellStyle name="20% - Accent6 40 2" xfId="1746"/>
    <cellStyle name="20% - Accent6 40 3" xfId="1747"/>
    <cellStyle name="20% - Accent6 5" xfId="1748"/>
    <cellStyle name="20% - Accent6 5 2" xfId="1749"/>
    <cellStyle name="20% - Accent6 5 3" xfId="1750"/>
    <cellStyle name="20% - Accent6 5 4" xfId="1751"/>
    <cellStyle name="20% - Accent6 5 5" xfId="1752"/>
    <cellStyle name="20% - Accent6 5 6" xfId="1753"/>
    <cellStyle name="20% - Accent6 6" xfId="1754"/>
    <cellStyle name="20% - Accent6 6 2" xfId="1755"/>
    <cellStyle name="20% - Accent6 6 3" xfId="1756"/>
    <cellStyle name="20% - Accent6 6 4" xfId="1757"/>
    <cellStyle name="20% - Accent6 6 5" xfId="1758"/>
    <cellStyle name="20% - Accent6 6 6" xfId="1759"/>
    <cellStyle name="20% - Accent6 7" xfId="1760"/>
    <cellStyle name="20% - Accent6 7 2" xfId="1761"/>
    <cellStyle name="20% - Accent6 7 3" xfId="1762"/>
    <cellStyle name="20% - Accent6 7 4" xfId="1763"/>
    <cellStyle name="20% - Accent6 7 5" xfId="1764"/>
    <cellStyle name="20% - Accent6 7 6" xfId="1765"/>
    <cellStyle name="20% - Accent6 8" xfId="1766"/>
    <cellStyle name="20% - Accent6 8 2" xfId="1767"/>
    <cellStyle name="20% - Accent6 8 3" xfId="1768"/>
    <cellStyle name="20% - Accent6 8 4" xfId="1769"/>
    <cellStyle name="20% - Accent6 8 5" xfId="1770"/>
    <cellStyle name="20% - Accent6 8 6" xfId="1771"/>
    <cellStyle name="20% - Accent6 9" xfId="1772"/>
    <cellStyle name="20% - Accent6 9 2" xfId="1773"/>
    <cellStyle name="20% - Accent6 9 3" xfId="1774"/>
    <cellStyle name="20% - Accent6 9 4" xfId="1775"/>
    <cellStyle name="20% - Accent6 9 5" xfId="1776"/>
    <cellStyle name="20% - Accent6 9 6" xfId="1777"/>
    <cellStyle name="3 indents" xfId="91"/>
    <cellStyle name="4 indents" xfId="92"/>
    <cellStyle name="40% - Accent1" xfId="21" builtinId="31" customBuiltin="1"/>
    <cellStyle name="40% - Accent1 10" xfId="1778"/>
    <cellStyle name="40% - Accent1 10 2" xfId="1779"/>
    <cellStyle name="40% - Accent1 10 3" xfId="1780"/>
    <cellStyle name="40% - Accent1 10 4" xfId="1781"/>
    <cellStyle name="40% - Accent1 10 5" xfId="1782"/>
    <cellStyle name="40% - Accent1 10 6" xfId="1783"/>
    <cellStyle name="40% - Accent1 11" xfId="1784"/>
    <cellStyle name="40% - Accent1 11 2" xfId="1785"/>
    <cellStyle name="40% - Accent1 11 3" xfId="1786"/>
    <cellStyle name="40% - Accent1 11 4" xfId="1787"/>
    <cellStyle name="40% - Accent1 11 5" xfId="1788"/>
    <cellStyle name="40% - Accent1 11 6" xfId="1789"/>
    <cellStyle name="40% - Accent1 12" xfId="1790"/>
    <cellStyle name="40% - Accent1 12 2" xfId="1791"/>
    <cellStyle name="40% - Accent1 12 3" xfId="1792"/>
    <cellStyle name="40% - Accent1 12 4" xfId="1793"/>
    <cellStyle name="40% - Accent1 12 5" xfId="1794"/>
    <cellStyle name="40% - Accent1 12 6" xfId="1795"/>
    <cellStyle name="40% - Accent1 13" xfId="1796"/>
    <cellStyle name="40% - Accent1 13 2" xfId="1797"/>
    <cellStyle name="40% - Accent1 13 3" xfId="1798"/>
    <cellStyle name="40% - Accent1 13 4" xfId="1799"/>
    <cellStyle name="40% - Accent1 13 5" xfId="1800"/>
    <cellStyle name="40% - Accent1 13 6" xfId="1801"/>
    <cellStyle name="40% - Accent1 14" xfId="1802"/>
    <cellStyle name="40% - Accent1 14 2" xfId="1803"/>
    <cellStyle name="40% - Accent1 14 3" xfId="1804"/>
    <cellStyle name="40% - Accent1 14 4" xfId="1805"/>
    <cellStyle name="40% - Accent1 14 5" xfId="1806"/>
    <cellStyle name="40% - Accent1 14 6" xfId="1807"/>
    <cellStyle name="40% - Accent1 15" xfId="1808"/>
    <cellStyle name="40% - Accent1 15 2" xfId="1809"/>
    <cellStyle name="40% - Accent1 15 3" xfId="1810"/>
    <cellStyle name="40% - Accent1 15 4" xfId="1811"/>
    <cellStyle name="40% - Accent1 15 5" xfId="1812"/>
    <cellStyle name="40% - Accent1 15 6" xfId="1813"/>
    <cellStyle name="40% - Accent1 16" xfId="1814"/>
    <cellStyle name="40% - Accent1 16 2" xfId="1815"/>
    <cellStyle name="40% - Accent1 16 3" xfId="1816"/>
    <cellStyle name="40% - Accent1 16 4" xfId="1817"/>
    <cellStyle name="40% - Accent1 16 5" xfId="1818"/>
    <cellStyle name="40% - Accent1 16 6" xfId="1819"/>
    <cellStyle name="40% - Accent1 17" xfId="1820"/>
    <cellStyle name="40% - Accent1 17 2" xfId="1821"/>
    <cellStyle name="40% - Accent1 17 3" xfId="1822"/>
    <cellStyle name="40% - Accent1 17 4" xfId="1823"/>
    <cellStyle name="40% - Accent1 17 5" xfId="1824"/>
    <cellStyle name="40% - Accent1 17 6" xfId="1825"/>
    <cellStyle name="40% - Accent1 18" xfId="1826"/>
    <cellStyle name="40% - Accent1 18 2" xfId="1827"/>
    <cellStyle name="40% - Accent1 18 3" xfId="1828"/>
    <cellStyle name="40% - Accent1 18 4" xfId="1829"/>
    <cellStyle name="40% - Accent1 18 5" xfId="1830"/>
    <cellStyle name="40% - Accent1 18 6" xfId="1831"/>
    <cellStyle name="40% - Accent1 19" xfId="1832"/>
    <cellStyle name="40% - Accent1 19 2" xfId="1833"/>
    <cellStyle name="40% - Accent1 19 3" xfId="1834"/>
    <cellStyle name="40% - Accent1 19 4" xfId="1835"/>
    <cellStyle name="40% - Accent1 19 5" xfId="1836"/>
    <cellStyle name="40% - Accent1 19 6" xfId="1837"/>
    <cellStyle name="40% - Accent1 2" xfId="69"/>
    <cellStyle name="40% - Accent1 2 10" xfId="1838"/>
    <cellStyle name="40% - Accent1 2 11" xfId="1839"/>
    <cellStyle name="40% - Accent1 2 12" xfId="1840"/>
    <cellStyle name="40% - Accent1 2 13" xfId="1841"/>
    <cellStyle name="40% - Accent1 2 14" xfId="1842"/>
    <cellStyle name="40% - Accent1 2 15" xfId="1843"/>
    <cellStyle name="40% - Accent1 2 16" xfId="1844"/>
    <cellStyle name="40% - Accent1 2 17" xfId="1845"/>
    <cellStyle name="40% - Accent1 2 18" xfId="1846"/>
    <cellStyle name="40% - Accent1 2 2" xfId="313"/>
    <cellStyle name="40% - Accent1 2 2 2" xfId="1847"/>
    <cellStyle name="40% - Accent1 2 3" xfId="1848"/>
    <cellStyle name="40% - Accent1 2 4" xfId="1849"/>
    <cellStyle name="40% - Accent1 2 5" xfId="1850"/>
    <cellStyle name="40% - Accent1 2 6" xfId="1851"/>
    <cellStyle name="40% - Accent1 2 7" xfId="1852"/>
    <cellStyle name="40% - Accent1 2 8" xfId="1853"/>
    <cellStyle name="40% - Accent1 2 9" xfId="1854"/>
    <cellStyle name="40% - Accent1 20" xfId="1855"/>
    <cellStyle name="40% - Accent1 20 2" xfId="1856"/>
    <cellStyle name="40% - Accent1 20 3" xfId="1857"/>
    <cellStyle name="40% - Accent1 20 4" xfId="1858"/>
    <cellStyle name="40% - Accent1 20 5" xfId="1859"/>
    <cellStyle name="40% - Accent1 20 6" xfId="1860"/>
    <cellStyle name="40% - Accent1 21" xfId="1861"/>
    <cellStyle name="40% - Accent1 21 2" xfId="1862"/>
    <cellStyle name="40% - Accent1 21 3" xfId="1863"/>
    <cellStyle name="40% - Accent1 21 4" xfId="1864"/>
    <cellStyle name="40% - Accent1 21 5" xfId="1865"/>
    <cellStyle name="40% - Accent1 21 6" xfId="1866"/>
    <cellStyle name="40% - Accent1 22" xfId="1867"/>
    <cellStyle name="40% - Accent1 22 2" xfId="1868"/>
    <cellStyle name="40% - Accent1 22 3" xfId="1869"/>
    <cellStyle name="40% - Accent1 22 4" xfId="1870"/>
    <cellStyle name="40% - Accent1 22 5" xfId="1871"/>
    <cellStyle name="40% - Accent1 22 6" xfId="1872"/>
    <cellStyle name="40% - Accent1 23" xfId="1873"/>
    <cellStyle name="40% - Accent1 23 2" xfId="1874"/>
    <cellStyle name="40% - Accent1 23 3" xfId="1875"/>
    <cellStyle name="40% - Accent1 23 4" xfId="1876"/>
    <cellStyle name="40% - Accent1 23 5" xfId="1877"/>
    <cellStyle name="40% - Accent1 23 6" xfId="1878"/>
    <cellStyle name="40% - Accent1 24" xfId="1879"/>
    <cellStyle name="40% - Accent1 24 2" xfId="1880"/>
    <cellStyle name="40% - Accent1 24 3" xfId="1881"/>
    <cellStyle name="40% - Accent1 24 4" xfId="1882"/>
    <cellStyle name="40% - Accent1 24 5" xfId="1883"/>
    <cellStyle name="40% - Accent1 24 6" xfId="1884"/>
    <cellStyle name="40% - Accent1 25" xfId="1885"/>
    <cellStyle name="40% - Accent1 25 2" xfId="1886"/>
    <cellStyle name="40% - Accent1 25 3" xfId="1887"/>
    <cellStyle name="40% - Accent1 25 4" xfId="1888"/>
    <cellStyle name="40% - Accent1 25 5" xfId="1889"/>
    <cellStyle name="40% - Accent1 25 6" xfId="1890"/>
    <cellStyle name="40% - Accent1 26" xfId="1891"/>
    <cellStyle name="40% - Accent1 26 2" xfId="1892"/>
    <cellStyle name="40% - Accent1 26 3" xfId="1893"/>
    <cellStyle name="40% - Accent1 26 4" xfId="1894"/>
    <cellStyle name="40% - Accent1 26 5" xfId="1895"/>
    <cellStyle name="40% - Accent1 26 6" xfId="1896"/>
    <cellStyle name="40% - Accent1 27" xfId="1897"/>
    <cellStyle name="40% - Accent1 27 2" xfId="1898"/>
    <cellStyle name="40% - Accent1 27 3" xfId="1899"/>
    <cellStyle name="40% - Accent1 27 4" xfId="1900"/>
    <cellStyle name="40% - Accent1 27 5" xfId="1901"/>
    <cellStyle name="40% - Accent1 27 6" xfId="1902"/>
    <cellStyle name="40% - Accent1 28" xfId="1903"/>
    <cellStyle name="40% - Accent1 28 2" xfId="1904"/>
    <cellStyle name="40% - Accent1 28 3" xfId="1905"/>
    <cellStyle name="40% - Accent1 28 4" xfId="1906"/>
    <cellStyle name="40% - Accent1 28 5" xfId="1907"/>
    <cellStyle name="40% - Accent1 28 6" xfId="1908"/>
    <cellStyle name="40% - Accent1 29" xfId="1909"/>
    <cellStyle name="40% - Accent1 29 2" xfId="1910"/>
    <cellStyle name="40% - Accent1 29 3" xfId="1911"/>
    <cellStyle name="40% - Accent1 29 4" xfId="1912"/>
    <cellStyle name="40% - Accent1 29 5" xfId="1913"/>
    <cellStyle name="40% - Accent1 29 6" xfId="1914"/>
    <cellStyle name="40% - Accent1 3" xfId="248"/>
    <cellStyle name="40% - Accent1 3 2" xfId="1916"/>
    <cellStyle name="40% - Accent1 3 3" xfId="1917"/>
    <cellStyle name="40% - Accent1 3 4" xfId="1918"/>
    <cellStyle name="40% - Accent1 3 5" xfId="1919"/>
    <cellStyle name="40% - Accent1 3 6" xfId="1920"/>
    <cellStyle name="40% - Accent1 3 7" xfId="1915"/>
    <cellStyle name="40% - Accent1 3 8" xfId="3467"/>
    <cellStyle name="40% - Accent1 30" xfId="1921"/>
    <cellStyle name="40% - Accent1 30 2" xfId="1922"/>
    <cellStyle name="40% - Accent1 30 3" xfId="1923"/>
    <cellStyle name="40% - Accent1 30 4" xfId="1924"/>
    <cellStyle name="40% - Accent1 30 5" xfId="1925"/>
    <cellStyle name="40% - Accent1 30 6" xfId="1926"/>
    <cellStyle name="40% - Accent1 31" xfId="1927"/>
    <cellStyle name="40% - Accent1 31 2" xfId="1928"/>
    <cellStyle name="40% - Accent1 31 3" xfId="1929"/>
    <cellStyle name="40% - Accent1 31 4" xfId="1930"/>
    <cellStyle name="40% - Accent1 31 5" xfId="1931"/>
    <cellStyle name="40% - Accent1 31 6" xfId="1932"/>
    <cellStyle name="40% - Accent1 32" xfId="1933"/>
    <cellStyle name="40% - Accent1 32 2" xfId="1934"/>
    <cellStyle name="40% - Accent1 32 3" xfId="1935"/>
    <cellStyle name="40% - Accent1 32 4" xfId="1936"/>
    <cellStyle name="40% - Accent1 32 5" xfId="1937"/>
    <cellStyle name="40% - Accent1 32 6" xfId="1938"/>
    <cellStyle name="40% - Accent1 33" xfId="1939"/>
    <cellStyle name="40% - Accent1 33 2" xfId="1940"/>
    <cellStyle name="40% - Accent1 33 3" xfId="1941"/>
    <cellStyle name="40% - Accent1 33 4" xfId="1942"/>
    <cellStyle name="40% - Accent1 33 5" xfId="1943"/>
    <cellStyle name="40% - Accent1 33 6" xfId="1944"/>
    <cellStyle name="40% - Accent1 34" xfId="1945"/>
    <cellStyle name="40% - Accent1 34 2" xfId="1946"/>
    <cellStyle name="40% - Accent1 34 3" xfId="1947"/>
    <cellStyle name="40% - Accent1 34 4" xfId="1948"/>
    <cellStyle name="40% - Accent1 34 5" xfId="1949"/>
    <cellStyle name="40% - Accent1 34 6" xfId="1950"/>
    <cellStyle name="40% - Accent1 35" xfId="1951"/>
    <cellStyle name="40% - Accent1 35 2" xfId="1952"/>
    <cellStyle name="40% - Accent1 35 3" xfId="1953"/>
    <cellStyle name="40% - Accent1 35 4" xfId="1954"/>
    <cellStyle name="40% - Accent1 35 5" xfId="1955"/>
    <cellStyle name="40% - Accent1 35 6" xfId="1956"/>
    <cellStyle name="40% - Accent1 36" xfId="1957"/>
    <cellStyle name="40% - Accent1 36 2" xfId="1958"/>
    <cellStyle name="40% - Accent1 36 3" xfId="1959"/>
    <cellStyle name="40% - Accent1 36 4" xfId="1960"/>
    <cellStyle name="40% - Accent1 37" xfId="1961"/>
    <cellStyle name="40% - Accent1 37 2" xfId="1962"/>
    <cellStyle name="40% - Accent1 37 3" xfId="1963"/>
    <cellStyle name="40% - Accent1 37 4" xfId="1964"/>
    <cellStyle name="40% - Accent1 38" xfId="1965"/>
    <cellStyle name="40% - Accent1 38 2" xfId="1966"/>
    <cellStyle name="40% - Accent1 38 3" xfId="1967"/>
    <cellStyle name="40% - Accent1 38 4" xfId="1968"/>
    <cellStyle name="40% - Accent1 39" xfId="1969"/>
    <cellStyle name="40% - Accent1 39 2" xfId="1970"/>
    <cellStyle name="40% - Accent1 39 3" xfId="1971"/>
    <cellStyle name="40% - Accent1 39 4" xfId="1972"/>
    <cellStyle name="40% - Accent1 4" xfId="1973"/>
    <cellStyle name="40% - Accent1 4 2" xfId="1974"/>
    <cellStyle name="40% - Accent1 4 3" xfId="1975"/>
    <cellStyle name="40% - Accent1 4 4" xfId="1976"/>
    <cellStyle name="40% - Accent1 4 5" xfId="1977"/>
    <cellStyle name="40% - Accent1 4 6" xfId="1978"/>
    <cellStyle name="40% - Accent1 40" xfId="1979"/>
    <cellStyle name="40% - Accent1 40 2" xfId="1980"/>
    <cellStyle name="40% - Accent1 40 3" xfId="1981"/>
    <cellStyle name="40% - Accent1 5" xfId="1982"/>
    <cellStyle name="40% - Accent1 5 2" xfId="1983"/>
    <cellStyle name="40% - Accent1 5 3" xfId="1984"/>
    <cellStyle name="40% - Accent1 5 4" xfId="1985"/>
    <cellStyle name="40% - Accent1 5 5" xfId="1986"/>
    <cellStyle name="40% - Accent1 5 6" xfId="1987"/>
    <cellStyle name="40% - Accent1 6" xfId="1988"/>
    <cellStyle name="40% - Accent1 6 2" xfId="1989"/>
    <cellStyle name="40% - Accent1 6 3" xfId="1990"/>
    <cellStyle name="40% - Accent1 6 4" xfId="1991"/>
    <cellStyle name="40% - Accent1 6 5" xfId="1992"/>
    <cellStyle name="40% - Accent1 6 6" xfId="1993"/>
    <cellStyle name="40% - Accent1 7" xfId="1994"/>
    <cellStyle name="40% - Accent1 7 2" xfId="1995"/>
    <cellStyle name="40% - Accent1 7 3" xfId="1996"/>
    <cellStyle name="40% - Accent1 7 4" xfId="1997"/>
    <cellStyle name="40% - Accent1 7 5" xfId="1998"/>
    <cellStyle name="40% - Accent1 7 6" xfId="1999"/>
    <cellStyle name="40% - Accent1 8" xfId="2000"/>
    <cellStyle name="40% - Accent1 8 2" xfId="2001"/>
    <cellStyle name="40% - Accent1 8 3" xfId="2002"/>
    <cellStyle name="40% - Accent1 8 4" xfId="2003"/>
    <cellStyle name="40% - Accent1 8 5" xfId="2004"/>
    <cellStyle name="40% - Accent1 8 6" xfId="2005"/>
    <cellStyle name="40% - Accent1 9" xfId="2006"/>
    <cellStyle name="40% - Accent1 9 2" xfId="2007"/>
    <cellStyle name="40% - Accent1 9 3" xfId="2008"/>
    <cellStyle name="40% - Accent1 9 4" xfId="2009"/>
    <cellStyle name="40% - Accent1 9 5" xfId="2010"/>
    <cellStyle name="40% - Accent1 9 6" xfId="2011"/>
    <cellStyle name="40% - Accent2" xfId="25" builtinId="35" customBuiltin="1"/>
    <cellStyle name="40% - Accent2 10" xfId="2012"/>
    <cellStyle name="40% - Accent2 10 2" xfId="2013"/>
    <cellStyle name="40% - Accent2 10 3" xfId="2014"/>
    <cellStyle name="40% - Accent2 10 4" xfId="2015"/>
    <cellStyle name="40% - Accent2 10 5" xfId="2016"/>
    <cellStyle name="40% - Accent2 10 6" xfId="2017"/>
    <cellStyle name="40% - Accent2 11" xfId="2018"/>
    <cellStyle name="40% - Accent2 11 2" xfId="2019"/>
    <cellStyle name="40% - Accent2 11 3" xfId="2020"/>
    <cellStyle name="40% - Accent2 11 4" xfId="2021"/>
    <cellStyle name="40% - Accent2 11 5" xfId="2022"/>
    <cellStyle name="40% - Accent2 11 6" xfId="2023"/>
    <cellStyle name="40% - Accent2 12" xfId="2024"/>
    <cellStyle name="40% - Accent2 12 2" xfId="2025"/>
    <cellStyle name="40% - Accent2 12 3" xfId="2026"/>
    <cellStyle name="40% - Accent2 12 4" xfId="2027"/>
    <cellStyle name="40% - Accent2 12 5" xfId="2028"/>
    <cellStyle name="40% - Accent2 12 6" xfId="2029"/>
    <cellStyle name="40% - Accent2 13" xfId="2030"/>
    <cellStyle name="40% - Accent2 13 2" xfId="2031"/>
    <cellStyle name="40% - Accent2 13 3" xfId="2032"/>
    <cellStyle name="40% - Accent2 13 4" xfId="2033"/>
    <cellStyle name="40% - Accent2 13 5" xfId="2034"/>
    <cellStyle name="40% - Accent2 13 6" xfId="2035"/>
    <cellStyle name="40% - Accent2 14" xfId="2036"/>
    <cellStyle name="40% - Accent2 14 2" xfId="2037"/>
    <cellStyle name="40% - Accent2 14 3" xfId="2038"/>
    <cellStyle name="40% - Accent2 14 4" xfId="2039"/>
    <cellStyle name="40% - Accent2 14 5" xfId="2040"/>
    <cellStyle name="40% - Accent2 14 6" xfId="2041"/>
    <cellStyle name="40% - Accent2 15" xfId="2042"/>
    <cellStyle name="40% - Accent2 15 2" xfId="2043"/>
    <cellStyle name="40% - Accent2 15 3" xfId="2044"/>
    <cellStyle name="40% - Accent2 15 4" xfId="2045"/>
    <cellStyle name="40% - Accent2 15 5" xfId="2046"/>
    <cellStyle name="40% - Accent2 15 6" xfId="2047"/>
    <cellStyle name="40% - Accent2 16" xfId="2048"/>
    <cellStyle name="40% - Accent2 16 2" xfId="2049"/>
    <cellStyle name="40% - Accent2 16 3" xfId="2050"/>
    <cellStyle name="40% - Accent2 16 4" xfId="2051"/>
    <cellStyle name="40% - Accent2 16 5" xfId="2052"/>
    <cellStyle name="40% - Accent2 16 6" xfId="2053"/>
    <cellStyle name="40% - Accent2 17" xfId="2054"/>
    <cellStyle name="40% - Accent2 17 2" xfId="2055"/>
    <cellStyle name="40% - Accent2 17 3" xfId="2056"/>
    <cellStyle name="40% - Accent2 17 4" xfId="2057"/>
    <cellStyle name="40% - Accent2 17 5" xfId="2058"/>
    <cellStyle name="40% - Accent2 17 6" xfId="2059"/>
    <cellStyle name="40% - Accent2 18" xfId="2060"/>
    <cellStyle name="40% - Accent2 18 2" xfId="2061"/>
    <cellStyle name="40% - Accent2 18 3" xfId="2062"/>
    <cellStyle name="40% - Accent2 18 4" xfId="2063"/>
    <cellStyle name="40% - Accent2 18 5" xfId="2064"/>
    <cellStyle name="40% - Accent2 18 6" xfId="2065"/>
    <cellStyle name="40% - Accent2 19" xfId="2066"/>
    <cellStyle name="40% - Accent2 19 2" xfId="2067"/>
    <cellStyle name="40% - Accent2 19 3" xfId="2068"/>
    <cellStyle name="40% - Accent2 19 4" xfId="2069"/>
    <cellStyle name="40% - Accent2 19 5" xfId="2070"/>
    <cellStyle name="40% - Accent2 19 6" xfId="2071"/>
    <cellStyle name="40% - Accent2 2" xfId="43"/>
    <cellStyle name="40% - Accent2 2 10" xfId="2072"/>
    <cellStyle name="40% - Accent2 2 11" xfId="2073"/>
    <cellStyle name="40% - Accent2 2 12" xfId="2074"/>
    <cellStyle name="40% - Accent2 2 13" xfId="2075"/>
    <cellStyle name="40% - Accent2 2 14" xfId="2076"/>
    <cellStyle name="40% - Accent2 2 15" xfId="2077"/>
    <cellStyle name="40% - Accent2 2 16" xfId="2078"/>
    <cellStyle name="40% - Accent2 2 17" xfId="2079"/>
    <cellStyle name="40% - Accent2 2 18" xfId="2080"/>
    <cellStyle name="40% - Accent2 2 2" xfId="314"/>
    <cellStyle name="40% - Accent2 2 2 2" xfId="2081"/>
    <cellStyle name="40% - Accent2 2 3" xfId="2082"/>
    <cellStyle name="40% - Accent2 2 4" xfId="2083"/>
    <cellStyle name="40% - Accent2 2 5" xfId="2084"/>
    <cellStyle name="40% - Accent2 2 6" xfId="2085"/>
    <cellStyle name="40% - Accent2 2 7" xfId="2086"/>
    <cellStyle name="40% - Accent2 2 8" xfId="2087"/>
    <cellStyle name="40% - Accent2 2 9" xfId="2088"/>
    <cellStyle name="40% - Accent2 20" xfId="2089"/>
    <cellStyle name="40% - Accent2 20 2" xfId="2090"/>
    <cellStyle name="40% - Accent2 20 3" xfId="2091"/>
    <cellStyle name="40% - Accent2 20 4" xfId="2092"/>
    <cellStyle name="40% - Accent2 20 5" xfId="2093"/>
    <cellStyle name="40% - Accent2 20 6" xfId="2094"/>
    <cellStyle name="40% - Accent2 21" xfId="2095"/>
    <cellStyle name="40% - Accent2 21 2" xfId="2096"/>
    <cellStyle name="40% - Accent2 21 3" xfId="2097"/>
    <cellStyle name="40% - Accent2 21 4" xfId="2098"/>
    <cellStyle name="40% - Accent2 21 5" xfId="2099"/>
    <cellStyle name="40% - Accent2 21 6" xfId="2100"/>
    <cellStyle name="40% - Accent2 22" xfId="2101"/>
    <cellStyle name="40% - Accent2 22 2" xfId="2102"/>
    <cellStyle name="40% - Accent2 22 3" xfId="2103"/>
    <cellStyle name="40% - Accent2 22 4" xfId="2104"/>
    <cellStyle name="40% - Accent2 22 5" xfId="2105"/>
    <cellStyle name="40% - Accent2 22 6" xfId="2106"/>
    <cellStyle name="40% - Accent2 23" xfId="2107"/>
    <cellStyle name="40% - Accent2 23 2" xfId="2108"/>
    <cellStyle name="40% - Accent2 23 3" xfId="2109"/>
    <cellStyle name="40% - Accent2 23 4" xfId="2110"/>
    <cellStyle name="40% - Accent2 23 5" xfId="2111"/>
    <cellStyle name="40% - Accent2 23 6" xfId="2112"/>
    <cellStyle name="40% - Accent2 24" xfId="2113"/>
    <cellStyle name="40% - Accent2 24 2" xfId="2114"/>
    <cellStyle name="40% - Accent2 24 3" xfId="2115"/>
    <cellStyle name="40% - Accent2 24 4" xfId="2116"/>
    <cellStyle name="40% - Accent2 24 5" xfId="2117"/>
    <cellStyle name="40% - Accent2 24 6" xfId="2118"/>
    <cellStyle name="40% - Accent2 25" xfId="2119"/>
    <cellStyle name="40% - Accent2 25 2" xfId="2120"/>
    <cellStyle name="40% - Accent2 25 3" xfId="2121"/>
    <cellStyle name="40% - Accent2 25 4" xfId="2122"/>
    <cellStyle name="40% - Accent2 25 5" xfId="2123"/>
    <cellStyle name="40% - Accent2 25 6" xfId="2124"/>
    <cellStyle name="40% - Accent2 26" xfId="2125"/>
    <cellStyle name="40% - Accent2 26 2" xfId="2126"/>
    <cellStyle name="40% - Accent2 26 3" xfId="2127"/>
    <cellStyle name="40% - Accent2 26 4" xfId="2128"/>
    <cellStyle name="40% - Accent2 26 5" xfId="2129"/>
    <cellStyle name="40% - Accent2 26 6" xfId="2130"/>
    <cellStyle name="40% - Accent2 27" xfId="2131"/>
    <cellStyle name="40% - Accent2 27 2" xfId="2132"/>
    <cellStyle name="40% - Accent2 27 3" xfId="2133"/>
    <cellStyle name="40% - Accent2 27 4" xfId="2134"/>
    <cellStyle name="40% - Accent2 27 5" xfId="2135"/>
    <cellStyle name="40% - Accent2 27 6" xfId="2136"/>
    <cellStyle name="40% - Accent2 28" xfId="2137"/>
    <cellStyle name="40% - Accent2 28 2" xfId="2138"/>
    <cellStyle name="40% - Accent2 28 3" xfId="2139"/>
    <cellStyle name="40% - Accent2 28 4" xfId="2140"/>
    <cellStyle name="40% - Accent2 28 5" xfId="2141"/>
    <cellStyle name="40% - Accent2 28 6" xfId="2142"/>
    <cellStyle name="40% - Accent2 29" xfId="2143"/>
    <cellStyle name="40% - Accent2 29 2" xfId="2144"/>
    <cellStyle name="40% - Accent2 29 3" xfId="2145"/>
    <cellStyle name="40% - Accent2 29 4" xfId="2146"/>
    <cellStyle name="40% - Accent2 29 5" xfId="2147"/>
    <cellStyle name="40% - Accent2 29 6" xfId="2148"/>
    <cellStyle name="40% - Accent2 3" xfId="249"/>
    <cellStyle name="40% - Accent2 3 2" xfId="2150"/>
    <cellStyle name="40% - Accent2 3 3" xfId="2151"/>
    <cellStyle name="40% - Accent2 3 4" xfId="2152"/>
    <cellStyle name="40% - Accent2 3 5" xfId="2153"/>
    <cellStyle name="40% - Accent2 3 6" xfId="2154"/>
    <cellStyle name="40% - Accent2 3 7" xfId="2149"/>
    <cellStyle name="40% - Accent2 3 8" xfId="3468"/>
    <cellStyle name="40% - Accent2 30" xfId="2155"/>
    <cellStyle name="40% - Accent2 30 2" xfId="2156"/>
    <cellStyle name="40% - Accent2 30 3" xfId="2157"/>
    <cellStyle name="40% - Accent2 30 4" xfId="2158"/>
    <cellStyle name="40% - Accent2 30 5" xfId="2159"/>
    <cellStyle name="40% - Accent2 30 6" xfId="2160"/>
    <cellStyle name="40% - Accent2 31" xfId="2161"/>
    <cellStyle name="40% - Accent2 31 2" xfId="2162"/>
    <cellStyle name="40% - Accent2 31 3" xfId="2163"/>
    <cellStyle name="40% - Accent2 31 4" xfId="2164"/>
    <cellStyle name="40% - Accent2 31 5" xfId="2165"/>
    <cellStyle name="40% - Accent2 31 6" xfId="2166"/>
    <cellStyle name="40% - Accent2 32" xfId="2167"/>
    <cellStyle name="40% - Accent2 32 2" xfId="2168"/>
    <cellStyle name="40% - Accent2 32 3" xfId="2169"/>
    <cellStyle name="40% - Accent2 32 4" xfId="2170"/>
    <cellStyle name="40% - Accent2 32 5" xfId="2171"/>
    <cellStyle name="40% - Accent2 32 6" xfId="2172"/>
    <cellStyle name="40% - Accent2 33" xfId="2173"/>
    <cellStyle name="40% - Accent2 33 2" xfId="2174"/>
    <cellStyle name="40% - Accent2 33 3" xfId="2175"/>
    <cellStyle name="40% - Accent2 33 4" xfId="2176"/>
    <cellStyle name="40% - Accent2 33 5" xfId="2177"/>
    <cellStyle name="40% - Accent2 33 6" xfId="2178"/>
    <cellStyle name="40% - Accent2 34" xfId="2179"/>
    <cellStyle name="40% - Accent2 34 2" xfId="2180"/>
    <cellStyle name="40% - Accent2 34 3" xfId="2181"/>
    <cellStyle name="40% - Accent2 34 4" xfId="2182"/>
    <cellStyle name="40% - Accent2 34 5" xfId="2183"/>
    <cellStyle name="40% - Accent2 34 6" xfId="2184"/>
    <cellStyle name="40% - Accent2 35" xfId="2185"/>
    <cellStyle name="40% - Accent2 35 2" xfId="2186"/>
    <cellStyle name="40% - Accent2 35 3" xfId="2187"/>
    <cellStyle name="40% - Accent2 35 4" xfId="2188"/>
    <cellStyle name="40% - Accent2 35 5" xfId="2189"/>
    <cellStyle name="40% - Accent2 35 6" xfId="2190"/>
    <cellStyle name="40% - Accent2 36" xfId="2191"/>
    <cellStyle name="40% - Accent2 36 2" xfId="2192"/>
    <cellStyle name="40% - Accent2 36 3" xfId="2193"/>
    <cellStyle name="40% - Accent2 36 4" xfId="2194"/>
    <cellStyle name="40% - Accent2 37" xfId="2195"/>
    <cellStyle name="40% - Accent2 37 2" xfId="2196"/>
    <cellStyle name="40% - Accent2 37 3" xfId="2197"/>
    <cellStyle name="40% - Accent2 37 4" xfId="2198"/>
    <cellStyle name="40% - Accent2 38" xfId="2199"/>
    <cellStyle name="40% - Accent2 38 2" xfId="2200"/>
    <cellStyle name="40% - Accent2 38 3" xfId="2201"/>
    <cellStyle name="40% - Accent2 38 4" xfId="2202"/>
    <cellStyle name="40% - Accent2 39" xfId="2203"/>
    <cellStyle name="40% - Accent2 39 2" xfId="2204"/>
    <cellStyle name="40% - Accent2 39 3" xfId="2205"/>
    <cellStyle name="40% - Accent2 39 4" xfId="2206"/>
    <cellStyle name="40% - Accent2 4" xfId="2207"/>
    <cellStyle name="40% - Accent2 4 2" xfId="2208"/>
    <cellStyle name="40% - Accent2 4 3" xfId="2209"/>
    <cellStyle name="40% - Accent2 4 4" xfId="2210"/>
    <cellStyle name="40% - Accent2 4 5" xfId="2211"/>
    <cellStyle name="40% - Accent2 4 6" xfId="2212"/>
    <cellStyle name="40% - Accent2 40" xfId="2213"/>
    <cellStyle name="40% - Accent2 40 2" xfId="2214"/>
    <cellStyle name="40% - Accent2 40 3" xfId="2215"/>
    <cellStyle name="40% - Accent2 5" xfId="2216"/>
    <cellStyle name="40% - Accent2 5 2" xfId="2217"/>
    <cellStyle name="40% - Accent2 5 3" xfId="2218"/>
    <cellStyle name="40% - Accent2 5 4" xfId="2219"/>
    <cellStyle name="40% - Accent2 5 5" xfId="2220"/>
    <cellStyle name="40% - Accent2 5 6" xfId="2221"/>
    <cellStyle name="40% - Accent2 6" xfId="2222"/>
    <cellStyle name="40% - Accent2 6 2" xfId="2223"/>
    <cellStyle name="40% - Accent2 6 3" xfId="2224"/>
    <cellStyle name="40% - Accent2 6 4" xfId="2225"/>
    <cellStyle name="40% - Accent2 6 5" xfId="2226"/>
    <cellStyle name="40% - Accent2 6 6" xfId="2227"/>
    <cellStyle name="40% - Accent2 7" xfId="2228"/>
    <cellStyle name="40% - Accent2 7 2" xfId="2229"/>
    <cellStyle name="40% - Accent2 7 3" xfId="2230"/>
    <cellStyle name="40% - Accent2 7 4" xfId="2231"/>
    <cellStyle name="40% - Accent2 7 5" xfId="2232"/>
    <cellStyle name="40% - Accent2 7 6" xfId="2233"/>
    <cellStyle name="40% - Accent2 8" xfId="2234"/>
    <cellStyle name="40% - Accent2 8 2" xfId="2235"/>
    <cellStyle name="40% - Accent2 8 3" xfId="2236"/>
    <cellStyle name="40% - Accent2 8 4" xfId="2237"/>
    <cellStyle name="40% - Accent2 8 5" xfId="2238"/>
    <cellStyle name="40% - Accent2 8 6" xfId="2239"/>
    <cellStyle name="40% - Accent2 9" xfId="2240"/>
    <cellStyle name="40% - Accent2 9 2" xfId="2241"/>
    <cellStyle name="40% - Accent2 9 3" xfId="2242"/>
    <cellStyle name="40% - Accent2 9 4" xfId="2243"/>
    <cellStyle name="40% - Accent2 9 5" xfId="2244"/>
    <cellStyle name="40% - Accent2 9 6" xfId="2245"/>
    <cellStyle name="40% - Accent3" xfId="29" builtinId="39" customBuiltin="1"/>
    <cellStyle name="40% - Accent3 10" xfId="2246"/>
    <cellStyle name="40% - Accent3 10 2" xfId="2247"/>
    <cellStyle name="40% - Accent3 10 3" xfId="2248"/>
    <cellStyle name="40% - Accent3 10 4" xfId="2249"/>
    <cellStyle name="40% - Accent3 10 5" xfId="2250"/>
    <cellStyle name="40% - Accent3 10 6" xfId="2251"/>
    <cellStyle name="40% - Accent3 11" xfId="2252"/>
    <cellStyle name="40% - Accent3 11 2" xfId="2253"/>
    <cellStyle name="40% - Accent3 11 3" xfId="2254"/>
    <cellStyle name="40% - Accent3 11 4" xfId="2255"/>
    <cellStyle name="40% - Accent3 11 5" xfId="2256"/>
    <cellStyle name="40% - Accent3 11 6" xfId="2257"/>
    <cellStyle name="40% - Accent3 12" xfId="2258"/>
    <cellStyle name="40% - Accent3 12 2" xfId="2259"/>
    <cellStyle name="40% - Accent3 12 3" xfId="2260"/>
    <cellStyle name="40% - Accent3 12 4" xfId="2261"/>
    <cellStyle name="40% - Accent3 12 5" xfId="2262"/>
    <cellStyle name="40% - Accent3 12 6" xfId="2263"/>
    <cellStyle name="40% - Accent3 13" xfId="2264"/>
    <cellStyle name="40% - Accent3 13 2" xfId="2265"/>
    <cellStyle name="40% - Accent3 13 3" xfId="2266"/>
    <cellStyle name="40% - Accent3 13 4" xfId="2267"/>
    <cellStyle name="40% - Accent3 13 5" xfId="2268"/>
    <cellStyle name="40% - Accent3 13 6" xfId="2269"/>
    <cellStyle name="40% - Accent3 14" xfId="2270"/>
    <cellStyle name="40% - Accent3 14 2" xfId="2271"/>
    <cellStyle name="40% - Accent3 14 3" xfId="2272"/>
    <cellStyle name="40% - Accent3 14 4" xfId="2273"/>
    <cellStyle name="40% - Accent3 14 5" xfId="2274"/>
    <cellStyle name="40% - Accent3 14 6" xfId="2275"/>
    <cellStyle name="40% - Accent3 15" xfId="2276"/>
    <cellStyle name="40% - Accent3 15 2" xfId="2277"/>
    <cellStyle name="40% - Accent3 15 3" xfId="2278"/>
    <cellStyle name="40% - Accent3 15 4" xfId="2279"/>
    <cellStyle name="40% - Accent3 15 5" xfId="2280"/>
    <cellStyle name="40% - Accent3 15 6" xfId="2281"/>
    <cellStyle name="40% - Accent3 16" xfId="2282"/>
    <cellStyle name="40% - Accent3 16 2" xfId="2283"/>
    <cellStyle name="40% - Accent3 16 3" xfId="2284"/>
    <cellStyle name="40% - Accent3 16 4" xfId="2285"/>
    <cellStyle name="40% - Accent3 16 5" xfId="2286"/>
    <cellStyle name="40% - Accent3 16 6" xfId="2287"/>
    <cellStyle name="40% - Accent3 17" xfId="2288"/>
    <cellStyle name="40% - Accent3 17 2" xfId="2289"/>
    <cellStyle name="40% - Accent3 17 3" xfId="2290"/>
    <cellStyle name="40% - Accent3 17 4" xfId="2291"/>
    <cellStyle name="40% - Accent3 17 5" xfId="2292"/>
    <cellStyle name="40% - Accent3 17 6" xfId="2293"/>
    <cellStyle name="40% - Accent3 18" xfId="2294"/>
    <cellStyle name="40% - Accent3 18 2" xfId="2295"/>
    <cellStyle name="40% - Accent3 18 3" xfId="2296"/>
    <cellStyle name="40% - Accent3 18 4" xfId="2297"/>
    <cellStyle name="40% - Accent3 18 5" xfId="2298"/>
    <cellStyle name="40% - Accent3 18 6" xfId="2299"/>
    <cellStyle name="40% - Accent3 19" xfId="2300"/>
    <cellStyle name="40% - Accent3 19 2" xfId="2301"/>
    <cellStyle name="40% - Accent3 19 3" xfId="2302"/>
    <cellStyle name="40% - Accent3 19 4" xfId="2303"/>
    <cellStyle name="40% - Accent3 19 5" xfId="2304"/>
    <cellStyle name="40% - Accent3 19 6" xfId="2305"/>
    <cellStyle name="40% - Accent3 2" xfId="44"/>
    <cellStyle name="40% - Accent3 2 10" xfId="2306"/>
    <cellStyle name="40% - Accent3 2 11" xfId="2307"/>
    <cellStyle name="40% - Accent3 2 12" xfId="2308"/>
    <cellStyle name="40% - Accent3 2 13" xfId="2309"/>
    <cellStyle name="40% - Accent3 2 14" xfId="2310"/>
    <cellStyle name="40% - Accent3 2 15" xfId="2311"/>
    <cellStyle name="40% - Accent3 2 16" xfId="2312"/>
    <cellStyle name="40% - Accent3 2 17" xfId="2313"/>
    <cellStyle name="40% - Accent3 2 18" xfId="2314"/>
    <cellStyle name="40% - Accent3 2 2" xfId="315"/>
    <cellStyle name="40% - Accent3 2 2 2" xfId="2315"/>
    <cellStyle name="40% - Accent3 2 3" xfId="2316"/>
    <cellStyle name="40% - Accent3 2 4" xfId="2317"/>
    <cellStyle name="40% - Accent3 2 5" xfId="2318"/>
    <cellStyle name="40% - Accent3 2 6" xfId="2319"/>
    <cellStyle name="40% - Accent3 2 7" xfId="2320"/>
    <cellStyle name="40% - Accent3 2 8" xfId="2321"/>
    <cellStyle name="40% - Accent3 2 9" xfId="2322"/>
    <cellStyle name="40% - Accent3 20" xfId="2323"/>
    <cellStyle name="40% - Accent3 20 2" xfId="2324"/>
    <cellStyle name="40% - Accent3 20 3" xfId="2325"/>
    <cellStyle name="40% - Accent3 20 4" xfId="2326"/>
    <cellStyle name="40% - Accent3 20 5" xfId="2327"/>
    <cellStyle name="40% - Accent3 20 6" xfId="2328"/>
    <cellStyle name="40% - Accent3 21" xfId="2329"/>
    <cellStyle name="40% - Accent3 21 2" xfId="2330"/>
    <cellStyle name="40% - Accent3 21 3" xfId="2331"/>
    <cellStyle name="40% - Accent3 21 4" xfId="2332"/>
    <cellStyle name="40% - Accent3 21 5" xfId="2333"/>
    <cellStyle name="40% - Accent3 21 6" xfId="2334"/>
    <cellStyle name="40% - Accent3 22" xfId="2335"/>
    <cellStyle name="40% - Accent3 22 2" xfId="2336"/>
    <cellStyle name="40% - Accent3 22 3" xfId="2337"/>
    <cellStyle name="40% - Accent3 22 4" xfId="2338"/>
    <cellStyle name="40% - Accent3 22 5" xfId="2339"/>
    <cellStyle name="40% - Accent3 22 6" xfId="2340"/>
    <cellStyle name="40% - Accent3 23" xfId="2341"/>
    <cellStyle name="40% - Accent3 23 2" xfId="2342"/>
    <cellStyle name="40% - Accent3 23 3" xfId="2343"/>
    <cellStyle name="40% - Accent3 23 4" xfId="2344"/>
    <cellStyle name="40% - Accent3 23 5" xfId="2345"/>
    <cellStyle name="40% - Accent3 23 6" xfId="2346"/>
    <cellStyle name="40% - Accent3 24" xfId="2347"/>
    <cellStyle name="40% - Accent3 24 2" xfId="2348"/>
    <cellStyle name="40% - Accent3 24 3" xfId="2349"/>
    <cellStyle name="40% - Accent3 24 4" xfId="2350"/>
    <cellStyle name="40% - Accent3 24 5" xfId="2351"/>
    <cellStyle name="40% - Accent3 24 6" xfId="2352"/>
    <cellStyle name="40% - Accent3 25" xfId="2353"/>
    <cellStyle name="40% - Accent3 25 2" xfId="2354"/>
    <cellStyle name="40% - Accent3 25 3" xfId="2355"/>
    <cellStyle name="40% - Accent3 25 4" xfId="2356"/>
    <cellStyle name="40% - Accent3 25 5" xfId="2357"/>
    <cellStyle name="40% - Accent3 25 6" xfId="2358"/>
    <cellStyle name="40% - Accent3 26" xfId="2359"/>
    <cellStyle name="40% - Accent3 26 2" xfId="2360"/>
    <cellStyle name="40% - Accent3 26 3" xfId="2361"/>
    <cellStyle name="40% - Accent3 26 4" xfId="2362"/>
    <cellStyle name="40% - Accent3 26 5" xfId="2363"/>
    <cellStyle name="40% - Accent3 26 6" xfId="2364"/>
    <cellStyle name="40% - Accent3 27" xfId="2365"/>
    <cellStyle name="40% - Accent3 27 2" xfId="2366"/>
    <cellStyle name="40% - Accent3 27 3" xfId="2367"/>
    <cellStyle name="40% - Accent3 27 4" xfId="2368"/>
    <cellStyle name="40% - Accent3 27 5" xfId="2369"/>
    <cellStyle name="40% - Accent3 27 6" xfId="2370"/>
    <cellStyle name="40% - Accent3 28" xfId="2371"/>
    <cellStyle name="40% - Accent3 28 2" xfId="2372"/>
    <cellStyle name="40% - Accent3 28 3" xfId="2373"/>
    <cellStyle name="40% - Accent3 28 4" xfId="2374"/>
    <cellStyle name="40% - Accent3 28 5" xfId="2375"/>
    <cellStyle name="40% - Accent3 28 6" xfId="2376"/>
    <cellStyle name="40% - Accent3 29" xfId="2377"/>
    <cellStyle name="40% - Accent3 29 2" xfId="2378"/>
    <cellStyle name="40% - Accent3 29 3" xfId="2379"/>
    <cellStyle name="40% - Accent3 29 4" xfId="2380"/>
    <cellStyle name="40% - Accent3 29 5" xfId="2381"/>
    <cellStyle name="40% - Accent3 29 6" xfId="2382"/>
    <cellStyle name="40% - Accent3 3" xfId="250"/>
    <cellStyle name="40% - Accent3 3 2" xfId="2384"/>
    <cellStyle name="40% - Accent3 3 3" xfId="2385"/>
    <cellStyle name="40% - Accent3 3 4" xfId="2386"/>
    <cellStyle name="40% - Accent3 3 5" xfId="2387"/>
    <cellStyle name="40% - Accent3 3 6" xfId="2388"/>
    <cellStyle name="40% - Accent3 3 7" xfId="2383"/>
    <cellStyle name="40% - Accent3 3 8" xfId="3469"/>
    <cellStyle name="40% - Accent3 30" xfId="2389"/>
    <cellStyle name="40% - Accent3 30 2" xfId="2390"/>
    <cellStyle name="40% - Accent3 30 3" xfId="2391"/>
    <cellStyle name="40% - Accent3 30 4" xfId="2392"/>
    <cellStyle name="40% - Accent3 30 5" xfId="2393"/>
    <cellStyle name="40% - Accent3 30 6" xfId="2394"/>
    <cellStyle name="40% - Accent3 31" xfId="2395"/>
    <cellStyle name="40% - Accent3 31 2" xfId="2396"/>
    <cellStyle name="40% - Accent3 31 3" xfId="2397"/>
    <cellStyle name="40% - Accent3 31 4" xfId="2398"/>
    <cellStyle name="40% - Accent3 31 5" xfId="2399"/>
    <cellStyle name="40% - Accent3 31 6" xfId="2400"/>
    <cellStyle name="40% - Accent3 32" xfId="2401"/>
    <cellStyle name="40% - Accent3 32 2" xfId="2402"/>
    <cellStyle name="40% - Accent3 32 3" xfId="2403"/>
    <cellStyle name="40% - Accent3 32 4" xfId="2404"/>
    <cellStyle name="40% - Accent3 32 5" xfId="2405"/>
    <cellStyle name="40% - Accent3 32 6" xfId="2406"/>
    <cellStyle name="40% - Accent3 33" xfId="2407"/>
    <cellStyle name="40% - Accent3 33 2" xfId="2408"/>
    <cellStyle name="40% - Accent3 33 3" xfId="2409"/>
    <cellStyle name="40% - Accent3 33 4" xfId="2410"/>
    <cellStyle name="40% - Accent3 33 5" xfId="2411"/>
    <cellStyle name="40% - Accent3 33 6" xfId="2412"/>
    <cellStyle name="40% - Accent3 34" xfId="2413"/>
    <cellStyle name="40% - Accent3 34 2" xfId="2414"/>
    <cellStyle name="40% - Accent3 34 3" xfId="2415"/>
    <cellStyle name="40% - Accent3 34 4" xfId="2416"/>
    <cellStyle name="40% - Accent3 34 5" xfId="2417"/>
    <cellStyle name="40% - Accent3 34 6" xfId="2418"/>
    <cellStyle name="40% - Accent3 35" xfId="2419"/>
    <cellStyle name="40% - Accent3 35 2" xfId="2420"/>
    <cellStyle name="40% - Accent3 35 3" xfId="2421"/>
    <cellStyle name="40% - Accent3 35 4" xfId="2422"/>
    <cellStyle name="40% - Accent3 35 5" xfId="2423"/>
    <cellStyle name="40% - Accent3 35 6" xfId="2424"/>
    <cellStyle name="40% - Accent3 36" xfId="2425"/>
    <cellStyle name="40% - Accent3 36 2" xfId="2426"/>
    <cellStyle name="40% - Accent3 36 3" xfId="2427"/>
    <cellStyle name="40% - Accent3 36 4" xfId="2428"/>
    <cellStyle name="40% - Accent3 37" xfId="2429"/>
    <cellStyle name="40% - Accent3 37 2" xfId="2430"/>
    <cellStyle name="40% - Accent3 37 3" xfId="2431"/>
    <cellStyle name="40% - Accent3 37 4" xfId="2432"/>
    <cellStyle name="40% - Accent3 38" xfId="2433"/>
    <cellStyle name="40% - Accent3 38 2" xfId="2434"/>
    <cellStyle name="40% - Accent3 38 3" xfId="2435"/>
    <cellStyle name="40% - Accent3 38 4" xfId="2436"/>
    <cellStyle name="40% - Accent3 39" xfId="2437"/>
    <cellStyle name="40% - Accent3 39 2" xfId="2438"/>
    <cellStyle name="40% - Accent3 39 3" xfId="2439"/>
    <cellStyle name="40% - Accent3 39 4" xfId="2440"/>
    <cellStyle name="40% - Accent3 4" xfId="2441"/>
    <cellStyle name="40% - Accent3 4 2" xfId="2442"/>
    <cellStyle name="40% - Accent3 4 3" xfId="2443"/>
    <cellStyle name="40% - Accent3 4 4" xfId="2444"/>
    <cellStyle name="40% - Accent3 4 5" xfId="2445"/>
    <cellStyle name="40% - Accent3 4 6" xfId="2446"/>
    <cellStyle name="40% - Accent3 40" xfId="2447"/>
    <cellStyle name="40% - Accent3 40 2" xfId="2448"/>
    <cellStyle name="40% - Accent3 40 3" xfId="2449"/>
    <cellStyle name="40% - Accent3 5" xfId="2450"/>
    <cellStyle name="40% - Accent3 5 2" xfId="2451"/>
    <cellStyle name="40% - Accent3 5 3" xfId="2452"/>
    <cellStyle name="40% - Accent3 5 4" xfId="2453"/>
    <cellStyle name="40% - Accent3 5 5" xfId="2454"/>
    <cellStyle name="40% - Accent3 5 6" xfId="2455"/>
    <cellStyle name="40% - Accent3 6" xfId="2456"/>
    <cellStyle name="40% - Accent3 6 2" xfId="2457"/>
    <cellStyle name="40% - Accent3 6 3" xfId="2458"/>
    <cellStyle name="40% - Accent3 6 4" xfId="2459"/>
    <cellStyle name="40% - Accent3 6 5" xfId="2460"/>
    <cellStyle name="40% - Accent3 6 6" xfId="2461"/>
    <cellStyle name="40% - Accent3 7" xfId="2462"/>
    <cellStyle name="40% - Accent3 7 2" xfId="2463"/>
    <cellStyle name="40% - Accent3 7 3" xfId="2464"/>
    <cellStyle name="40% - Accent3 7 4" xfId="2465"/>
    <cellStyle name="40% - Accent3 7 5" xfId="2466"/>
    <cellStyle name="40% - Accent3 7 6" xfId="2467"/>
    <cellStyle name="40% - Accent3 8" xfId="2468"/>
    <cellStyle name="40% - Accent3 8 2" xfId="2469"/>
    <cellStyle name="40% - Accent3 8 3" xfId="2470"/>
    <cellStyle name="40% - Accent3 8 4" xfId="2471"/>
    <cellStyle name="40% - Accent3 8 5" xfId="2472"/>
    <cellStyle name="40% - Accent3 8 6" xfId="2473"/>
    <cellStyle name="40% - Accent3 9" xfId="2474"/>
    <cellStyle name="40% - Accent3 9 2" xfId="2475"/>
    <cellStyle name="40% - Accent3 9 3" xfId="2476"/>
    <cellStyle name="40% - Accent3 9 4" xfId="2477"/>
    <cellStyle name="40% - Accent3 9 5" xfId="2478"/>
    <cellStyle name="40% - Accent3 9 6" xfId="2479"/>
    <cellStyle name="40% - Accent4" xfId="33" builtinId="43" customBuiltin="1"/>
    <cellStyle name="40% - Accent4 10" xfId="2480"/>
    <cellStyle name="40% - Accent4 10 2" xfId="2481"/>
    <cellStyle name="40% - Accent4 10 3" xfId="2482"/>
    <cellStyle name="40% - Accent4 10 4" xfId="2483"/>
    <cellStyle name="40% - Accent4 10 5" xfId="2484"/>
    <cellStyle name="40% - Accent4 10 6" xfId="2485"/>
    <cellStyle name="40% - Accent4 11" xfId="2486"/>
    <cellStyle name="40% - Accent4 11 2" xfId="2487"/>
    <cellStyle name="40% - Accent4 11 3" xfId="2488"/>
    <cellStyle name="40% - Accent4 11 4" xfId="2489"/>
    <cellStyle name="40% - Accent4 11 5" xfId="2490"/>
    <cellStyle name="40% - Accent4 11 6" xfId="2491"/>
    <cellStyle name="40% - Accent4 12" xfId="2492"/>
    <cellStyle name="40% - Accent4 12 2" xfId="2493"/>
    <cellStyle name="40% - Accent4 12 3" xfId="2494"/>
    <cellStyle name="40% - Accent4 12 4" xfId="2495"/>
    <cellStyle name="40% - Accent4 12 5" xfId="2496"/>
    <cellStyle name="40% - Accent4 12 6" xfId="2497"/>
    <cellStyle name="40% - Accent4 13" xfId="2498"/>
    <cellStyle name="40% - Accent4 13 2" xfId="2499"/>
    <cellStyle name="40% - Accent4 13 3" xfId="2500"/>
    <cellStyle name="40% - Accent4 13 4" xfId="2501"/>
    <cellStyle name="40% - Accent4 13 5" xfId="2502"/>
    <cellStyle name="40% - Accent4 13 6" xfId="2503"/>
    <cellStyle name="40% - Accent4 14" xfId="2504"/>
    <cellStyle name="40% - Accent4 14 2" xfId="2505"/>
    <cellStyle name="40% - Accent4 14 3" xfId="2506"/>
    <cellStyle name="40% - Accent4 14 4" xfId="2507"/>
    <cellStyle name="40% - Accent4 14 5" xfId="2508"/>
    <cellStyle name="40% - Accent4 14 6" xfId="2509"/>
    <cellStyle name="40% - Accent4 15" xfId="2510"/>
    <cellStyle name="40% - Accent4 15 2" xfId="2511"/>
    <cellStyle name="40% - Accent4 15 3" xfId="2512"/>
    <cellStyle name="40% - Accent4 15 4" xfId="2513"/>
    <cellStyle name="40% - Accent4 15 5" xfId="2514"/>
    <cellStyle name="40% - Accent4 15 6" xfId="2515"/>
    <cellStyle name="40% - Accent4 16" xfId="2516"/>
    <cellStyle name="40% - Accent4 16 2" xfId="2517"/>
    <cellStyle name="40% - Accent4 16 3" xfId="2518"/>
    <cellStyle name="40% - Accent4 16 4" xfId="2519"/>
    <cellStyle name="40% - Accent4 16 5" xfId="2520"/>
    <cellStyle name="40% - Accent4 16 6" xfId="2521"/>
    <cellStyle name="40% - Accent4 17" xfId="2522"/>
    <cellStyle name="40% - Accent4 17 2" xfId="2523"/>
    <cellStyle name="40% - Accent4 17 3" xfId="2524"/>
    <cellStyle name="40% - Accent4 17 4" xfId="2525"/>
    <cellStyle name="40% - Accent4 17 5" xfId="2526"/>
    <cellStyle name="40% - Accent4 17 6" xfId="2527"/>
    <cellStyle name="40% - Accent4 18" xfId="2528"/>
    <cellStyle name="40% - Accent4 18 2" xfId="2529"/>
    <cellStyle name="40% - Accent4 18 3" xfId="2530"/>
    <cellStyle name="40% - Accent4 18 4" xfId="2531"/>
    <cellStyle name="40% - Accent4 18 5" xfId="2532"/>
    <cellStyle name="40% - Accent4 18 6" xfId="2533"/>
    <cellStyle name="40% - Accent4 19" xfId="2534"/>
    <cellStyle name="40% - Accent4 19 2" xfId="2535"/>
    <cellStyle name="40% - Accent4 19 3" xfId="2536"/>
    <cellStyle name="40% - Accent4 19 4" xfId="2537"/>
    <cellStyle name="40% - Accent4 19 5" xfId="2538"/>
    <cellStyle name="40% - Accent4 19 6" xfId="2539"/>
    <cellStyle name="40% - Accent4 2" xfId="53"/>
    <cellStyle name="40% - Accent4 2 10" xfId="2540"/>
    <cellStyle name="40% - Accent4 2 11" xfId="2541"/>
    <cellStyle name="40% - Accent4 2 12" xfId="2542"/>
    <cellStyle name="40% - Accent4 2 13" xfId="2543"/>
    <cellStyle name="40% - Accent4 2 14" xfId="2544"/>
    <cellStyle name="40% - Accent4 2 15" xfId="2545"/>
    <cellStyle name="40% - Accent4 2 16" xfId="2546"/>
    <cellStyle name="40% - Accent4 2 17" xfId="2547"/>
    <cellStyle name="40% - Accent4 2 18" xfId="2548"/>
    <cellStyle name="40% - Accent4 2 2" xfId="316"/>
    <cellStyle name="40% - Accent4 2 2 2" xfId="2549"/>
    <cellStyle name="40% - Accent4 2 3" xfId="2550"/>
    <cellStyle name="40% - Accent4 2 4" xfId="2551"/>
    <cellStyle name="40% - Accent4 2 5" xfId="2552"/>
    <cellStyle name="40% - Accent4 2 6" xfId="2553"/>
    <cellStyle name="40% - Accent4 2 7" xfId="2554"/>
    <cellStyle name="40% - Accent4 2 8" xfId="2555"/>
    <cellStyle name="40% - Accent4 2 9" xfId="2556"/>
    <cellStyle name="40% - Accent4 20" xfId="2557"/>
    <cellStyle name="40% - Accent4 20 2" xfId="2558"/>
    <cellStyle name="40% - Accent4 20 3" xfId="2559"/>
    <cellStyle name="40% - Accent4 20 4" xfId="2560"/>
    <cellStyle name="40% - Accent4 20 5" xfId="2561"/>
    <cellStyle name="40% - Accent4 20 6" xfId="2562"/>
    <cellStyle name="40% - Accent4 21" xfId="2563"/>
    <cellStyle name="40% - Accent4 21 2" xfId="2564"/>
    <cellStyle name="40% - Accent4 21 3" xfId="2565"/>
    <cellStyle name="40% - Accent4 21 4" xfId="2566"/>
    <cellStyle name="40% - Accent4 21 5" xfId="2567"/>
    <cellStyle name="40% - Accent4 21 6" xfId="2568"/>
    <cellStyle name="40% - Accent4 22" xfId="2569"/>
    <cellStyle name="40% - Accent4 22 2" xfId="2570"/>
    <cellStyle name="40% - Accent4 22 3" xfId="2571"/>
    <cellStyle name="40% - Accent4 22 4" xfId="2572"/>
    <cellStyle name="40% - Accent4 22 5" xfId="2573"/>
    <cellStyle name="40% - Accent4 22 6" xfId="2574"/>
    <cellStyle name="40% - Accent4 23" xfId="2575"/>
    <cellStyle name="40% - Accent4 23 2" xfId="2576"/>
    <cellStyle name="40% - Accent4 23 3" xfId="2577"/>
    <cellStyle name="40% - Accent4 23 4" xfId="2578"/>
    <cellStyle name="40% - Accent4 23 5" xfId="2579"/>
    <cellStyle name="40% - Accent4 23 6" xfId="2580"/>
    <cellStyle name="40% - Accent4 24" xfId="2581"/>
    <cellStyle name="40% - Accent4 24 2" xfId="2582"/>
    <cellStyle name="40% - Accent4 24 3" xfId="2583"/>
    <cellStyle name="40% - Accent4 24 4" xfId="2584"/>
    <cellStyle name="40% - Accent4 24 5" xfId="2585"/>
    <cellStyle name="40% - Accent4 24 6" xfId="2586"/>
    <cellStyle name="40% - Accent4 25" xfId="2587"/>
    <cellStyle name="40% - Accent4 25 2" xfId="2588"/>
    <cellStyle name="40% - Accent4 25 3" xfId="2589"/>
    <cellStyle name="40% - Accent4 25 4" xfId="2590"/>
    <cellStyle name="40% - Accent4 25 5" xfId="2591"/>
    <cellStyle name="40% - Accent4 25 6" xfId="2592"/>
    <cellStyle name="40% - Accent4 26" xfId="2593"/>
    <cellStyle name="40% - Accent4 26 2" xfId="2594"/>
    <cellStyle name="40% - Accent4 26 3" xfId="2595"/>
    <cellStyle name="40% - Accent4 26 4" xfId="2596"/>
    <cellStyle name="40% - Accent4 26 5" xfId="2597"/>
    <cellStyle name="40% - Accent4 26 6" xfId="2598"/>
    <cellStyle name="40% - Accent4 27" xfId="2599"/>
    <cellStyle name="40% - Accent4 27 2" xfId="2600"/>
    <cellStyle name="40% - Accent4 27 3" xfId="2601"/>
    <cellStyle name="40% - Accent4 27 4" xfId="2602"/>
    <cellStyle name="40% - Accent4 27 5" xfId="2603"/>
    <cellStyle name="40% - Accent4 27 6" xfId="2604"/>
    <cellStyle name="40% - Accent4 28" xfId="2605"/>
    <cellStyle name="40% - Accent4 28 2" xfId="2606"/>
    <cellStyle name="40% - Accent4 28 3" xfId="2607"/>
    <cellStyle name="40% - Accent4 28 4" xfId="2608"/>
    <cellStyle name="40% - Accent4 28 5" xfId="2609"/>
    <cellStyle name="40% - Accent4 28 6" xfId="2610"/>
    <cellStyle name="40% - Accent4 29" xfId="2611"/>
    <cellStyle name="40% - Accent4 29 2" xfId="2612"/>
    <cellStyle name="40% - Accent4 29 3" xfId="2613"/>
    <cellStyle name="40% - Accent4 29 4" xfId="2614"/>
    <cellStyle name="40% - Accent4 29 5" xfId="2615"/>
    <cellStyle name="40% - Accent4 29 6" xfId="2616"/>
    <cellStyle name="40% - Accent4 3" xfId="251"/>
    <cellStyle name="40% - Accent4 3 2" xfId="2618"/>
    <cellStyle name="40% - Accent4 3 3" xfId="2619"/>
    <cellStyle name="40% - Accent4 3 4" xfId="2620"/>
    <cellStyle name="40% - Accent4 3 5" xfId="2621"/>
    <cellStyle name="40% - Accent4 3 6" xfId="2622"/>
    <cellStyle name="40% - Accent4 3 7" xfId="2617"/>
    <cellStyle name="40% - Accent4 3 8" xfId="3470"/>
    <cellStyle name="40% - Accent4 30" xfId="2623"/>
    <cellStyle name="40% - Accent4 30 2" xfId="2624"/>
    <cellStyle name="40% - Accent4 30 3" xfId="2625"/>
    <cellStyle name="40% - Accent4 30 4" xfId="2626"/>
    <cellStyle name="40% - Accent4 30 5" xfId="2627"/>
    <cellStyle name="40% - Accent4 30 6" xfId="2628"/>
    <cellStyle name="40% - Accent4 31" xfId="2629"/>
    <cellStyle name="40% - Accent4 31 2" xfId="2630"/>
    <cellStyle name="40% - Accent4 31 3" xfId="2631"/>
    <cellStyle name="40% - Accent4 31 4" xfId="2632"/>
    <cellStyle name="40% - Accent4 31 5" xfId="2633"/>
    <cellStyle name="40% - Accent4 31 6" xfId="2634"/>
    <cellStyle name="40% - Accent4 32" xfId="2635"/>
    <cellStyle name="40% - Accent4 32 2" xfId="2636"/>
    <cellStyle name="40% - Accent4 32 3" xfId="2637"/>
    <cellStyle name="40% - Accent4 32 4" xfId="2638"/>
    <cellStyle name="40% - Accent4 32 5" xfId="2639"/>
    <cellStyle name="40% - Accent4 32 6" xfId="2640"/>
    <cellStyle name="40% - Accent4 33" xfId="2641"/>
    <cellStyle name="40% - Accent4 33 2" xfId="2642"/>
    <cellStyle name="40% - Accent4 33 3" xfId="2643"/>
    <cellStyle name="40% - Accent4 33 4" xfId="2644"/>
    <cellStyle name="40% - Accent4 33 5" xfId="2645"/>
    <cellStyle name="40% - Accent4 33 6" xfId="2646"/>
    <cellStyle name="40% - Accent4 34" xfId="2647"/>
    <cellStyle name="40% - Accent4 34 2" xfId="2648"/>
    <cellStyle name="40% - Accent4 34 3" xfId="2649"/>
    <cellStyle name="40% - Accent4 34 4" xfId="2650"/>
    <cellStyle name="40% - Accent4 34 5" xfId="2651"/>
    <cellStyle name="40% - Accent4 34 6" xfId="2652"/>
    <cellStyle name="40% - Accent4 35" xfId="2653"/>
    <cellStyle name="40% - Accent4 35 2" xfId="2654"/>
    <cellStyle name="40% - Accent4 35 3" xfId="2655"/>
    <cellStyle name="40% - Accent4 35 4" xfId="2656"/>
    <cellStyle name="40% - Accent4 35 5" xfId="2657"/>
    <cellStyle name="40% - Accent4 35 6" xfId="2658"/>
    <cellStyle name="40% - Accent4 36" xfId="2659"/>
    <cellStyle name="40% - Accent4 36 2" xfId="2660"/>
    <cellStyle name="40% - Accent4 36 3" xfId="2661"/>
    <cellStyle name="40% - Accent4 36 4" xfId="2662"/>
    <cellStyle name="40% - Accent4 37" xfId="2663"/>
    <cellStyle name="40% - Accent4 37 2" xfId="2664"/>
    <cellStyle name="40% - Accent4 37 3" xfId="2665"/>
    <cellStyle name="40% - Accent4 37 4" xfId="2666"/>
    <cellStyle name="40% - Accent4 38" xfId="2667"/>
    <cellStyle name="40% - Accent4 38 2" xfId="2668"/>
    <cellStyle name="40% - Accent4 38 3" xfId="2669"/>
    <cellStyle name="40% - Accent4 38 4" xfId="2670"/>
    <cellStyle name="40% - Accent4 39" xfId="2671"/>
    <cellStyle name="40% - Accent4 39 2" xfId="2672"/>
    <cellStyle name="40% - Accent4 39 3" xfId="2673"/>
    <cellStyle name="40% - Accent4 39 4" xfId="2674"/>
    <cellStyle name="40% - Accent4 4" xfId="2675"/>
    <cellStyle name="40% - Accent4 4 2" xfId="2676"/>
    <cellStyle name="40% - Accent4 4 3" xfId="2677"/>
    <cellStyle name="40% - Accent4 4 4" xfId="2678"/>
    <cellStyle name="40% - Accent4 4 5" xfId="2679"/>
    <cellStyle name="40% - Accent4 4 6" xfId="2680"/>
    <cellStyle name="40% - Accent4 40" xfId="2681"/>
    <cellStyle name="40% - Accent4 40 2" xfId="2682"/>
    <cellStyle name="40% - Accent4 40 3" xfId="2683"/>
    <cellStyle name="40% - Accent4 5" xfId="2684"/>
    <cellStyle name="40% - Accent4 5 2" xfId="2685"/>
    <cellStyle name="40% - Accent4 5 3" xfId="2686"/>
    <cellStyle name="40% - Accent4 5 4" xfId="2687"/>
    <cellStyle name="40% - Accent4 5 5" xfId="2688"/>
    <cellStyle name="40% - Accent4 5 6" xfId="2689"/>
    <cellStyle name="40% - Accent4 6" xfId="2690"/>
    <cellStyle name="40% - Accent4 6 2" xfId="2691"/>
    <cellStyle name="40% - Accent4 6 3" xfId="2692"/>
    <cellStyle name="40% - Accent4 6 4" xfId="2693"/>
    <cellStyle name="40% - Accent4 6 5" xfId="2694"/>
    <cellStyle name="40% - Accent4 6 6" xfId="2695"/>
    <cellStyle name="40% - Accent4 7" xfId="2696"/>
    <cellStyle name="40% - Accent4 7 2" xfId="2697"/>
    <cellStyle name="40% - Accent4 7 3" xfId="2698"/>
    <cellStyle name="40% - Accent4 7 4" xfId="2699"/>
    <cellStyle name="40% - Accent4 7 5" xfId="2700"/>
    <cellStyle name="40% - Accent4 7 6" xfId="2701"/>
    <cellStyle name="40% - Accent4 8" xfId="2702"/>
    <cellStyle name="40% - Accent4 8 2" xfId="2703"/>
    <cellStyle name="40% - Accent4 8 3" xfId="2704"/>
    <cellStyle name="40% - Accent4 8 4" xfId="2705"/>
    <cellStyle name="40% - Accent4 8 5" xfId="2706"/>
    <cellStyle name="40% - Accent4 8 6" xfId="2707"/>
    <cellStyle name="40% - Accent4 9" xfId="2708"/>
    <cellStyle name="40% - Accent4 9 2" xfId="2709"/>
    <cellStyle name="40% - Accent4 9 3" xfId="2710"/>
    <cellStyle name="40% - Accent4 9 4" xfId="2711"/>
    <cellStyle name="40% - Accent4 9 5" xfId="2712"/>
    <cellStyle name="40% - Accent4 9 6" xfId="2713"/>
    <cellStyle name="40% - Accent5" xfId="37" builtinId="47" customBuiltin="1"/>
    <cellStyle name="40% - Accent5 10" xfId="2714"/>
    <cellStyle name="40% - Accent5 10 2" xfId="2715"/>
    <cellStyle name="40% - Accent5 10 3" xfId="2716"/>
    <cellStyle name="40% - Accent5 10 4" xfId="2717"/>
    <cellStyle name="40% - Accent5 10 5" xfId="2718"/>
    <cellStyle name="40% - Accent5 10 6" xfId="2719"/>
    <cellStyle name="40% - Accent5 11" xfId="2720"/>
    <cellStyle name="40% - Accent5 11 2" xfId="2721"/>
    <cellStyle name="40% - Accent5 11 3" xfId="2722"/>
    <cellStyle name="40% - Accent5 11 4" xfId="2723"/>
    <cellStyle name="40% - Accent5 11 5" xfId="2724"/>
    <cellStyle name="40% - Accent5 11 6" xfId="2725"/>
    <cellStyle name="40% - Accent5 12" xfId="2726"/>
    <cellStyle name="40% - Accent5 12 2" xfId="2727"/>
    <cellStyle name="40% - Accent5 12 3" xfId="2728"/>
    <cellStyle name="40% - Accent5 12 4" xfId="2729"/>
    <cellStyle name="40% - Accent5 12 5" xfId="2730"/>
    <cellStyle name="40% - Accent5 12 6" xfId="2731"/>
    <cellStyle name="40% - Accent5 13" xfId="2732"/>
    <cellStyle name="40% - Accent5 13 2" xfId="2733"/>
    <cellStyle name="40% - Accent5 13 3" xfId="2734"/>
    <cellStyle name="40% - Accent5 13 4" xfId="2735"/>
    <cellStyle name="40% - Accent5 13 5" xfId="2736"/>
    <cellStyle name="40% - Accent5 13 6" xfId="2737"/>
    <cellStyle name="40% - Accent5 14" xfId="2738"/>
    <cellStyle name="40% - Accent5 14 2" xfId="2739"/>
    <cellStyle name="40% - Accent5 14 3" xfId="2740"/>
    <cellStyle name="40% - Accent5 14 4" xfId="2741"/>
    <cellStyle name="40% - Accent5 14 5" xfId="2742"/>
    <cellStyle name="40% - Accent5 14 6" xfId="2743"/>
    <cellStyle name="40% - Accent5 15" xfId="2744"/>
    <cellStyle name="40% - Accent5 15 2" xfId="2745"/>
    <cellStyle name="40% - Accent5 15 3" xfId="2746"/>
    <cellStyle name="40% - Accent5 15 4" xfId="2747"/>
    <cellStyle name="40% - Accent5 15 5" xfId="2748"/>
    <cellStyle name="40% - Accent5 15 6" xfId="2749"/>
    <cellStyle name="40% - Accent5 16" xfId="2750"/>
    <cellStyle name="40% - Accent5 16 2" xfId="2751"/>
    <cellStyle name="40% - Accent5 16 3" xfId="2752"/>
    <cellStyle name="40% - Accent5 16 4" xfId="2753"/>
    <cellStyle name="40% - Accent5 16 5" xfId="2754"/>
    <cellStyle name="40% - Accent5 16 6" xfId="2755"/>
    <cellStyle name="40% - Accent5 17" xfId="2756"/>
    <cellStyle name="40% - Accent5 17 2" xfId="2757"/>
    <cellStyle name="40% - Accent5 17 3" xfId="2758"/>
    <cellStyle name="40% - Accent5 17 4" xfId="2759"/>
    <cellStyle name="40% - Accent5 17 5" xfId="2760"/>
    <cellStyle name="40% - Accent5 17 6" xfId="2761"/>
    <cellStyle name="40% - Accent5 18" xfId="2762"/>
    <cellStyle name="40% - Accent5 18 2" xfId="2763"/>
    <cellStyle name="40% - Accent5 18 3" xfId="2764"/>
    <cellStyle name="40% - Accent5 18 4" xfId="2765"/>
    <cellStyle name="40% - Accent5 18 5" xfId="2766"/>
    <cellStyle name="40% - Accent5 18 6" xfId="2767"/>
    <cellStyle name="40% - Accent5 19" xfId="2768"/>
    <cellStyle name="40% - Accent5 19 2" xfId="2769"/>
    <cellStyle name="40% - Accent5 19 3" xfId="2770"/>
    <cellStyle name="40% - Accent5 19 4" xfId="2771"/>
    <cellStyle name="40% - Accent5 19 5" xfId="2772"/>
    <cellStyle name="40% - Accent5 19 6" xfId="2773"/>
    <cellStyle name="40% - Accent5 2" xfId="48"/>
    <cellStyle name="40% - Accent5 2 10" xfId="2774"/>
    <cellStyle name="40% - Accent5 2 11" xfId="2775"/>
    <cellStyle name="40% - Accent5 2 12" xfId="2776"/>
    <cellStyle name="40% - Accent5 2 13" xfId="2777"/>
    <cellStyle name="40% - Accent5 2 14" xfId="2778"/>
    <cellStyle name="40% - Accent5 2 15" xfId="2779"/>
    <cellStyle name="40% - Accent5 2 16" xfId="2780"/>
    <cellStyle name="40% - Accent5 2 17" xfId="2781"/>
    <cellStyle name="40% - Accent5 2 18" xfId="2782"/>
    <cellStyle name="40% - Accent5 2 2" xfId="317"/>
    <cellStyle name="40% - Accent5 2 2 2" xfId="2783"/>
    <cellStyle name="40% - Accent5 2 3" xfId="2784"/>
    <cellStyle name="40% - Accent5 2 4" xfId="2785"/>
    <cellStyle name="40% - Accent5 2 5" xfId="2786"/>
    <cellStyle name="40% - Accent5 2 6" xfId="2787"/>
    <cellStyle name="40% - Accent5 2 7" xfId="2788"/>
    <cellStyle name="40% - Accent5 2 8" xfId="2789"/>
    <cellStyle name="40% - Accent5 2 9" xfId="2790"/>
    <cellStyle name="40% - Accent5 20" xfId="2791"/>
    <cellStyle name="40% - Accent5 20 2" xfId="2792"/>
    <cellStyle name="40% - Accent5 20 3" xfId="2793"/>
    <cellStyle name="40% - Accent5 20 4" xfId="2794"/>
    <cellStyle name="40% - Accent5 20 5" xfId="2795"/>
    <cellStyle name="40% - Accent5 20 6" xfId="2796"/>
    <cellStyle name="40% - Accent5 21" xfId="2797"/>
    <cellStyle name="40% - Accent5 21 2" xfId="2798"/>
    <cellStyle name="40% - Accent5 21 3" xfId="2799"/>
    <cellStyle name="40% - Accent5 21 4" xfId="2800"/>
    <cellStyle name="40% - Accent5 21 5" xfId="2801"/>
    <cellStyle name="40% - Accent5 21 6" xfId="2802"/>
    <cellStyle name="40% - Accent5 22" xfId="2803"/>
    <cellStyle name="40% - Accent5 22 2" xfId="2804"/>
    <cellStyle name="40% - Accent5 22 3" xfId="2805"/>
    <cellStyle name="40% - Accent5 22 4" xfId="2806"/>
    <cellStyle name="40% - Accent5 22 5" xfId="2807"/>
    <cellStyle name="40% - Accent5 22 6" xfId="2808"/>
    <cellStyle name="40% - Accent5 23" xfId="2809"/>
    <cellStyle name="40% - Accent5 23 2" xfId="2810"/>
    <cellStyle name="40% - Accent5 23 3" xfId="2811"/>
    <cellStyle name="40% - Accent5 23 4" xfId="2812"/>
    <cellStyle name="40% - Accent5 23 5" xfId="2813"/>
    <cellStyle name="40% - Accent5 23 6" xfId="2814"/>
    <cellStyle name="40% - Accent5 24" xfId="2815"/>
    <cellStyle name="40% - Accent5 24 2" xfId="2816"/>
    <cellStyle name="40% - Accent5 24 3" xfId="2817"/>
    <cellStyle name="40% - Accent5 24 4" xfId="2818"/>
    <cellStyle name="40% - Accent5 24 5" xfId="2819"/>
    <cellStyle name="40% - Accent5 24 6" xfId="2820"/>
    <cellStyle name="40% - Accent5 25" xfId="2821"/>
    <cellStyle name="40% - Accent5 25 2" xfId="2822"/>
    <cellStyle name="40% - Accent5 25 3" xfId="2823"/>
    <cellStyle name="40% - Accent5 25 4" xfId="2824"/>
    <cellStyle name="40% - Accent5 25 5" xfId="2825"/>
    <cellStyle name="40% - Accent5 25 6" xfId="2826"/>
    <cellStyle name="40% - Accent5 26" xfId="2827"/>
    <cellStyle name="40% - Accent5 26 2" xfId="2828"/>
    <cellStyle name="40% - Accent5 26 3" xfId="2829"/>
    <cellStyle name="40% - Accent5 26 4" xfId="2830"/>
    <cellStyle name="40% - Accent5 26 5" xfId="2831"/>
    <cellStyle name="40% - Accent5 26 6" xfId="2832"/>
    <cellStyle name="40% - Accent5 27" xfId="2833"/>
    <cellStyle name="40% - Accent5 27 2" xfId="2834"/>
    <cellStyle name="40% - Accent5 27 3" xfId="2835"/>
    <cellStyle name="40% - Accent5 27 4" xfId="2836"/>
    <cellStyle name="40% - Accent5 27 5" xfId="2837"/>
    <cellStyle name="40% - Accent5 27 6" xfId="2838"/>
    <cellStyle name="40% - Accent5 28" xfId="2839"/>
    <cellStyle name="40% - Accent5 28 2" xfId="2840"/>
    <cellStyle name="40% - Accent5 28 3" xfId="2841"/>
    <cellStyle name="40% - Accent5 28 4" xfId="2842"/>
    <cellStyle name="40% - Accent5 28 5" xfId="2843"/>
    <cellStyle name="40% - Accent5 28 6" xfId="2844"/>
    <cellStyle name="40% - Accent5 29" xfId="2845"/>
    <cellStyle name="40% - Accent5 29 2" xfId="2846"/>
    <cellStyle name="40% - Accent5 29 3" xfId="2847"/>
    <cellStyle name="40% - Accent5 29 4" xfId="2848"/>
    <cellStyle name="40% - Accent5 29 5" xfId="2849"/>
    <cellStyle name="40% - Accent5 29 6" xfId="2850"/>
    <cellStyle name="40% - Accent5 3" xfId="252"/>
    <cellStyle name="40% - Accent5 3 2" xfId="2852"/>
    <cellStyle name="40% - Accent5 3 3" xfId="2853"/>
    <cellStyle name="40% - Accent5 3 4" xfId="2854"/>
    <cellStyle name="40% - Accent5 3 5" xfId="2855"/>
    <cellStyle name="40% - Accent5 3 6" xfId="2856"/>
    <cellStyle name="40% - Accent5 3 7" xfId="2851"/>
    <cellStyle name="40% - Accent5 3 8" xfId="3471"/>
    <cellStyle name="40% - Accent5 30" xfId="2857"/>
    <cellStyle name="40% - Accent5 30 2" xfId="2858"/>
    <cellStyle name="40% - Accent5 30 3" xfId="2859"/>
    <cellStyle name="40% - Accent5 30 4" xfId="2860"/>
    <cellStyle name="40% - Accent5 30 5" xfId="2861"/>
    <cellStyle name="40% - Accent5 30 6" xfId="2862"/>
    <cellStyle name="40% - Accent5 31" xfId="2863"/>
    <cellStyle name="40% - Accent5 31 2" xfId="2864"/>
    <cellStyle name="40% - Accent5 31 3" xfId="2865"/>
    <cellStyle name="40% - Accent5 31 4" xfId="2866"/>
    <cellStyle name="40% - Accent5 31 5" xfId="2867"/>
    <cellStyle name="40% - Accent5 31 6" xfId="2868"/>
    <cellStyle name="40% - Accent5 32" xfId="2869"/>
    <cellStyle name="40% - Accent5 32 2" xfId="2870"/>
    <cellStyle name="40% - Accent5 32 3" xfId="2871"/>
    <cellStyle name="40% - Accent5 32 4" xfId="2872"/>
    <cellStyle name="40% - Accent5 32 5" xfId="2873"/>
    <cellStyle name="40% - Accent5 32 6" xfId="2874"/>
    <cellStyle name="40% - Accent5 33" xfId="2875"/>
    <cellStyle name="40% - Accent5 33 2" xfId="2876"/>
    <cellStyle name="40% - Accent5 33 3" xfId="2877"/>
    <cellStyle name="40% - Accent5 33 4" xfId="2878"/>
    <cellStyle name="40% - Accent5 33 5" xfId="2879"/>
    <cellStyle name="40% - Accent5 33 6" xfId="2880"/>
    <cellStyle name="40% - Accent5 34" xfId="2881"/>
    <cellStyle name="40% - Accent5 34 2" xfId="2882"/>
    <cellStyle name="40% - Accent5 34 3" xfId="2883"/>
    <cellStyle name="40% - Accent5 34 4" xfId="2884"/>
    <cellStyle name="40% - Accent5 34 5" xfId="2885"/>
    <cellStyle name="40% - Accent5 34 6" xfId="2886"/>
    <cellStyle name="40% - Accent5 35" xfId="2887"/>
    <cellStyle name="40% - Accent5 35 2" xfId="2888"/>
    <cellStyle name="40% - Accent5 35 3" xfId="2889"/>
    <cellStyle name="40% - Accent5 35 4" xfId="2890"/>
    <cellStyle name="40% - Accent5 35 5" xfId="2891"/>
    <cellStyle name="40% - Accent5 35 6" xfId="2892"/>
    <cellStyle name="40% - Accent5 36" xfId="2893"/>
    <cellStyle name="40% - Accent5 36 2" xfId="2894"/>
    <cellStyle name="40% - Accent5 36 3" xfId="2895"/>
    <cellStyle name="40% - Accent5 36 4" xfId="2896"/>
    <cellStyle name="40% - Accent5 37" xfId="2897"/>
    <cellStyle name="40% - Accent5 37 2" xfId="2898"/>
    <cellStyle name="40% - Accent5 37 3" xfId="2899"/>
    <cellStyle name="40% - Accent5 37 4" xfId="2900"/>
    <cellStyle name="40% - Accent5 38" xfId="2901"/>
    <cellStyle name="40% - Accent5 38 2" xfId="2902"/>
    <cellStyle name="40% - Accent5 38 3" xfId="2903"/>
    <cellStyle name="40% - Accent5 38 4" xfId="2904"/>
    <cellStyle name="40% - Accent5 39" xfId="2905"/>
    <cellStyle name="40% - Accent5 39 2" xfId="2906"/>
    <cellStyle name="40% - Accent5 39 3" xfId="2907"/>
    <cellStyle name="40% - Accent5 39 4" xfId="2908"/>
    <cellStyle name="40% - Accent5 4" xfId="2909"/>
    <cellStyle name="40% - Accent5 4 2" xfId="2910"/>
    <cellStyle name="40% - Accent5 4 3" xfId="2911"/>
    <cellStyle name="40% - Accent5 4 4" xfId="2912"/>
    <cellStyle name="40% - Accent5 4 5" xfId="2913"/>
    <cellStyle name="40% - Accent5 4 6" xfId="2914"/>
    <cellStyle name="40% - Accent5 40" xfId="2915"/>
    <cellStyle name="40% - Accent5 40 2" xfId="2916"/>
    <cellStyle name="40% - Accent5 40 3" xfId="2917"/>
    <cellStyle name="40% - Accent5 5" xfId="2918"/>
    <cellStyle name="40% - Accent5 5 2" xfId="2919"/>
    <cellStyle name="40% - Accent5 5 3" xfId="2920"/>
    <cellStyle name="40% - Accent5 5 4" xfId="2921"/>
    <cellStyle name="40% - Accent5 5 5" xfId="2922"/>
    <cellStyle name="40% - Accent5 5 6" xfId="2923"/>
    <cellStyle name="40% - Accent5 6" xfId="2924"/>
    <cellStyle name="40% - Accent5 6 2" xfId="2925"/>
    <cellStyle name="40% - Accent5 6 3" xfId="2926"/>
    <cellStyle name="40% - Accent5 6 4" xfId="2927"/>
    <cellStyle name="40% - Accent5 6 5" xfId="2928"/>
    <cellStyle name="40% - Accent5 6 6" xfId="2929"/>
    <cellStyle name="40% - Accent5 7" xfId="2930"/>
    <cellStyle name="40% - Accent5 7 2" xfId="2931"/>
    <cellStyle name="40% - Accent5 7 3" xfId="2932"/>
    <cellStyle name="40% - Accent5 7 4" xfId="2933"/>
    <cellStyle name="40% - Accent5 7 5" xfId="2934"/>
    <cellStyle name="40% - Accent5 7 6" xfId="2935"/>
    <cellStyle name="40% - Accent5 8" xfId="2936"/>
    <cellStyle name="40% - Accent5 8 2" xfId="2937"/>
    <cellStyle name="40% - Accent5 8 3" xfId="2938"/>
    <cellStyle name="40% - Accent5 8 4" xfId="2939"/>
    <cellStyle name="40% - Accent5 8 5" xfId="2940"/>
    <cellStyle name="40% - Accent5 8 6" xfId="2941"/>
    <cellStyle name="40% - Accent5 9" xfId="2942"/>
    <cellStyle name="40% - Accent5 9 2" xfId="2943"/>
    <cellStyle name="40% - Accent5 9 3" xfId="2944"/>
    <cellStyle name="40% - Accent5 9 4" xfId="2945"/>
    <cellStyle name="40% - Accent5 9 5" xfId="2946"/>
    <cellStyle name="40% - Accent5 9 6" xfId="2947"/>
    <cellStyle name="40% - Accent6" xfId="41" builtinId="51" customBuiltin="1"/>
    <cellStyle name="40% - Accent6 10" xfId="2948"/>
    <cellStyle name="40% - Accent6 10 2" xfId="2949"/>
    <cellStyle name="40% - Accent6 10 3" xfId="2950"/>
    <cellStyle name="40% - Accent6 10 4" xfId="2951"/>
    <cellStyle name="40% - Accent6 10 5" xfId="2952"/>
    <cellStyle name="40% - Accent6 10 6" xfId="2953"/>
    <cellStyle name="40% - Accent6 11" xfId="2954"/>
    <cellStyle name="40% - Accent6 11 2" xfId="2955"/>
    <cellStyle name="40% - Accent6 11 3" xfId="2956"/>
    <cellStyle name="40% - Accent6 11 4" xfId="2957"/>
    <cellStyle name="40% - Accent6 11 5" xfId="2958"/>
    <cellStyle name="40% - Accent6 11 6" xfId="2959"/>
    <cellStyle name="40% - Accent6 12" xfId="2960"/>
    <cellStyle name="40% - Accent6 12 2" xfId="2961"/>
    <cellStyle name="40% - Accent6 12 3" xfId="2962"/>
    <cellStyle name="40% - Accent6 12 4" xfId="2963"/>
    <cellStyle name="40% - Accent6 12 5" xfId="2964"/>
    <cellStyle name="40% - Accent6 12 6" xfId="2965"/>
    <cellStyle name="40% - Accent6 13" xfId="2966"/>
    <cellStyle name="40% - Accent6 13 2" xfId="2967"/>
    <cellStyle name="40% - Accent6 13 3" xfId="2968"/>
    <cellStyle name="40% - Accent6 13 4" xfId="2969"/>
    <cellStyle name="40% - Accent6 13 5" xfId="2970"/>
    <cellStyle name="40% - Accent6 13 6" xfId="2971"/>
    <cellStyle name="40% - Accent6 14" xfId="2972"/>
    <cellStyle name="40% - Accent6 14 2" xfId="2973"/>
    <cellStyle name="40% - Accent6 14 3" xfId="2974"/>
    <cellStyle name="40% - Accent6 14 4" xfId="2975"/>
    <cellStyle name="40% - Accent6 14 5" xfId="2976"/>
    <cellStyle name="40% - Accent6 14 6" xfId="2977"/>
    <cellStyle name="40% - Accent6 15" xfId="2978"/>
    <cellStyle name="40% - Accent6 15 2" xfId="2979"/>
    <cellStyle name="40% - Accent6 15 3" xfId="2980"/>
    <cellStyle name="40% - Accent6 15 4" xfId="2981"/>
    <cellStyle name="40% - Accent6 15 5" xfId="2982"/>
    <cellStyle name="40% - Accent6 15 6" xfId="2983"/>
    <cellStyle name="40% - Accent6 16" xfId="2984"/>
    <cellStyle name="40% - Accent6 16 2" xfId="2985"/>
    <cellStyle name="40% - Accent6 16 3" xfId="2986"/>
    <cellStyle name="40% - Accent6 16 4" xfId="2987"/>
    <cellStyle name="40% - Accent6 16 5" xfId="2988"/>
    <cellStyle name="40% - Accent6 16 6" xfId="2989"/>
    <cellStyle name="40% - Accent6 17" xfId="2990"/>
    <cellStyle name="40% - Accent6 17 2" xfId="2991"/>
    <cellStyle name="40% - Accent6 17 3" xfId="2992"/>
    <cellStyle name="40% - Accent6 17 4" xfId="2993"/>
    <cellStyle name="40% - Accent6 17 5" xfId="2994"/>
    <cellStyle name="40% - Accent6 17 6" xfId="2995"/>
    <cellStyle name="40% - Accent6 18" xfId="2996"/>
    <cellStyle name="40% - Accent6 18 2" xfId="2997"/>
    <cellStyle name="40% - Accent6 18 3" xfId="2998"/>
    <cellStyle name="40% - Accent6 18 4" xfId="2999"/>
    <cellStyle name="40% - Accent6 18 5" xfId="3000"/>
    <cellStyle name="40% - Accent6 18 6" xfId="3001"/>
    <cellStyle name="40% - Accent6 19" xfId="3002"/>
    <cellStyle name="40% - Accent6 19 2" xfId="3003"/>
    <cellStyle name="40% - Accent6 19 3" xfId="3004"/>
    <cellStyle name="40% - Accent6 19 4" xfId="3005"/>
    <cellStyle name="40% - Accent6 19 5" xfId="3006"/>
    <cellStyle name="40% - Accent6 19 6" xfId="3007"/>
    <cellStyle name="40% - Accent6 2" xfId="45"/>
    <cellStyle name="40% - Accent6 2 10" xfId="3008"/>
    <cellStyle name="40% - Accent6 2 11" xfId="3009"/>
    <cellStyle name="40% - Accent6 2 12" xfId="3010"/>
    <cellStyle name="40% - Accent6 2 13" xfId="3011"/>
    <cellStyle name="40% - Accent6 2 14" xfId="3012"/>
    <cellStyle name="40% - Accent6 2 15" xfId="3013"/>
    <cellStyle name="40% - Accent6 2 16" xfId="3014"/>
    <cellStyle name="40% - Accent6 2 17" xfId="3015"/>
    <cellStyle name="40% - Accent6 2 18" xfId="3016"/>
    <cellStyle name="40% - Accent6 2 2" xfId="318"/>
    <cellStyle name="40% - Accent6 2 2 2" xfId="3017"/>
    <cellStyle name="40% - Accent6 2 3" xfId="3018"/>
    <cellStyle name="40% - Accent6 2 4" xfId="3019"/>
    <cellStyle name="40% - Accent6 2 5" xfId="3020"/>
    <cellStyle name="40% - Accent6 2 6" xfId="3021"/>
    <cellStyle name="40% - Accent6 2 7" xfId="3022"/>
    <cellStyle name="40% - Accent6 2 8" xfId="3023"/>
    <cellStyle name="40% - Accent6 2 9" xfId="3024"/>
    <cellStyle name="40% - Accent6 20" xfId="3025"/>
    <cellStyle name="40% - Accent6 20 2" xfId="3026"/>
    <cellStyle name="40% - Accent6 20 3" xfId="3027"/>
    <cellStyle name="40% - Accent6 20 4" xfId="3028"/>
    <cellStyle name="40% - Accent6 20 5" xfId="3029"/>
    <cellStyle name="40% - Accent6 20 6" xfId="3030"/>
    <cellStyle name="40% - Accent6 21" xfId="3031"/>
    <cellStyle name="40% - Accent6 21 2" xfId="3032"/>
    <cellStyle name="40% - Accent6 21 3" xfId="3033"/>
    <cellStyle name="40% - Accent6 21 4" xfId="3034"/>
    <cellStyle name="40% - Accent6 21 5" xfId="3035"/>
    <cellStyle name="40% - Accent6 21 6" xfId="3036"/>
    <cellStyle name="40% - Accent6 22" xfId="3037"/>
    <cellStyle name="40% - Accent6 22 2" xfId="3038"/>
    <cellStyle name="40% - Accent6 22 3" xfId="3039"/>
    <cellStyle name="40% - Accent6 22 4" xfId="3040"/>
    <cellStyle name="40% - Accent6 22 5" xfId="3041"/>
    <cellStyle name="40% - Accent6 22 6" xfId="3042"/>
    <cellStyle name="40% - Accent6 23" xfId="3043"/>
    <cellStyle name="40% - Accent6 23 2" xfId="3044"/>
    <cellStyle name="40% - Accent6 23 3" xfId="3045"/>
    <cellStyle name="40% - Accent6 23 4" xfId="3046"/>
    <cellStyle name="40% - Accent6 23 5" xfId="3047"/>
    <cellStyle name="40% - Accent6 23 6" xfId="3048"/>
    <cellStyle name="40% - Accent6 24" xfId="3049"/>
    <cellStyle name="40% - Accent6 24 2" xfId="3050"/>
    <cellStyle name="40% - Accent6 24 3" xfId="3051"/>
    <cellStyle name="40% - Accent6 24 4" xfId="3052"/>
    <cellStyle name="40% - Accent6 24 5" xfId="3053"/>
    <cellStyle name="40% - Accent6 24 6" xfId="3054"/>
    <cellStyle name="40% - Accent6 25" xfId="3055"/>
    <cellStyle name="40% - Accent6 25 2" xfId="3056"/>
    <cellStyle name="40% - Accent6 25 3" xfId="3057"/>
    <cellStyle name="40% - Accent6 25 4" xfId="3058"/>
    <cellStyle name="40% - Accent6 25 5" xfId="3059"/>
    <cellStyle name="40% - Accent6 25 6" xfId="3060"/>
    <cellStyle name="40% - Accent6 26" xfId="3061"/>
    <cellStyle name="40% - Accent6 26 2" xfId="3062"/>
    <cellStyle name="40% - Accent6 26 3" xfId="3063"/>
    <cellStyle name="40% - Accent6 26 4" xfId="3064"/>
    <cellStyle name="40% - Accent6 26 5" xfId="3065"/>
    <cellStyle name="40% - Accent6 26 6" xfId="3066"/>
    <cellStyle name="40% - Accent6 27" xfId="3067"/>
    <cellStyle name="40% - Accent6 27 2" xfId="3068"/>
    <cellStyle name="40% - Accent6 27 3" xfId="3069"/>
    <cellStyle name="40% - Accent6 27 4" xfId="3070"/>
    <cellStyle name="40% - Accent6 27 5" xfId="3071"/>
    <cellStyle name="40% - Accent6 27 6" xfId="3072"/>
    <cellStyle name="40% - Accent6 28" xfId="3073"/>
    <cellStyle name="40% - Accent6 28 2" xfId="3074"/>
    <cellStyle name="40% - Accent6 28 3" xfId="3075"/>
    <cellStyle name="40% - Accent6 28 4" xfId="3076"/>
    <cellStyle name="40% - Accent6 28 5" xfId="3077"/>
    <cellStyle name="40% - Accent6 28 6" xfId="3078"/>
    <cellStyle name="40% - Accent6 29" xfId="3079"/>
    <cellStyle name="40% - Accent6 29 2" xfId="3080"/>
    <cellStyle name="40% - Accent6 29 3" xfId="3081"/>
    <cellStyle name="40% - Accent6 29 4" xfId="3082"/>
    <cellStyle name="40% - Accent6 29 5" xfId="3083"/>
    <cellStyle name="40% - Accent6 29 6" xfId="3084"/>
    <cellStyle name="40% - Accent6 3" xfId="253"/>
    <cellStyle name="40% - Accent6 3 2" xfId="3086"/>
    <cellStyle name="40% - Accent6 3 3" xfId="3087"/>
    <cellStyle name="40% - Accent6 3 4" xfId="3088"/>
    <cellStyle name="40% - Accent6 3 5" xfId="3089"/>
    <cellStyle name="40% - Accent6 3 6" xfId="3090"/>
    <cellStyle name="40% - Accent6 3 7" xfId="3085"/>
    <cellStyle name="40% - Accent6 3 8" xfId="3472"/>
    <cellStyle name="40% - Accent6 30" xfId="3091"/>
    <cellStyle name="40% - Accent6 30 2" xfId="3092"/>
    <cellStyle name="40% - Accent6 30 3" xfId="3093"/>
    <cellStyle name="40% - Accent6 30 4" xfId="3094"/>
    <cellStyle name="40% - Accent6 30 5" xfId="3095"/>
    <cellStyle name="40% - Accent6 30 6" xfId="3096"/>
    <cellStyle name="40% - Accent6 31" xfId="3097"/>
    <cellStyle name="40% - Accent6 31 2" xfId="3098"/>
    <cellStyle name="40% - Accent6 31 3" xfId="3099"/>
    <cellStyle name="40% - Accent6 31 4" xfId="3100"/>
    <cellStyle name="40% - Accent6 31 5" xfId="3101"/>
    <cellStyle name="40% - Accent6 31 6" xfId="3102"/>
    <cellStyle name="40% - Accent6 32" xfId="3103"/>
    <cellStyle name="40% - Accent6 32 2" xfId="3104"/>
    <cellStyle name="40% - Accent6 32 3" xfId="3105"/>
    <cellStyle name="40% - Accent6 32 4" xfId="3106"/>
    <cellStyle name="40% - Accent6 32 5" xfId="3107"/>
    <cellStyle name="40% - Accent6 32 6" xfId="3108"/>
    <cellStyle name="40% - Accent6 33" xfId="3109"/>
    <cellStyle name="40% - Accent6 33 2" xfId="3110"/>
    <cellStyle name="40% - Accent6 33 3" xfId="3111"/>
    <cellStyle name="40% - Accent6 33 4" xfId="3112"/>
    <cellStyle name="40% - Accent6 33 5" xfId="3113"/>
    <cellStyle name="40% - Accent6 33 6" xfId="3114"/>
    <cellStyle name="40% - Accent6 34" xfId="3115"/>
    <cellStyle name="40% - Accent6 34 2" xfId="3116"/>
    <cellStyle name="40% - Accent6 34 3" xfId="3117"/>
    <cellStyle name="40% - Accent6 34 4" xfId="3118"/>
    <cellStyle name="40% - Accent6 34 5" xfId="3119"/>
    <cellStyle name="40% - Accent6 34 6" xfId="3120"/>
    <cellStyle name="40% - Accent6 35" xfId="3121"/>
    <cellStyle name="40% - Accent6 35 2" xfId="3122"/>
    <cellStyle name="40% - Accent6 35 3" xfId="3123"/>
    <cellStyle name="40% - Accent6 35 4" xfId="3124"/>
    <cellStyle name="40% - Accent6 35 5" xfId="3125"/>
    <cellStyle name="40% - Accent6 35 6" xfId="3126"/>
    <cellStyle name="40% - Accent6 36" xfId="3127"/>
    <cellStyle name="40% - Accent6 36 2" xfId="3128"/>
    <cellStyle name="40% - Accent6 36 3" xfId="3129"/>
    <cellStyle name="40% - Accent6 36 4" xfId="3130"/>
    <cellStyle name="40% - Accent6 37" xfId="3131"/>
    <cellStyle name="40% - Accent6 37 2" xfId="3132"/>
    <cellStyle name="40% - Accent6 37 3" xfId="3133"/>
    <cellStyle name="40% - Accent6 37 4" xfId="3134"/>
    <cellStyle name="40% - Accent6 38" xfId="3135"/>
    <cellStyle name="40% - Accent6 38 2" xfId="3136"/>
    <cellStyle name="40% - Accent6 38 3" xfId="3137"/>
    <cellStyle name="40% - Accent6 38 4" xfId="3138"/>
    <cellStyle name="40% - Accent6 39" xfId="3139"/>
    <cellStyle name="40% - Accent6 39 2" xfId="3140"/>
    <cellStyle name="40% - Accent6 39 3" xfId="3141"/>
    <cellStyle name="40% - Accent6 39 4" xfId="3142"/>
    <cellStyle name="40% - Accent6 4" xfId="3143"/>
    <cellStyle name="40% - Accent6 4 2" xfId="3144"/>
    <cellStyle name="40% - Accent6 4 3" xfId="3145"/>
    <cellStyle name="40% - Accent6 4 4" xfId="3146"/>
    <cellStyle name="40% - Accent6 4 5" xfId="3147"/>
    <cellStyle name="40% - Accent6 4 6" xfId="3148"/>
    <cellStyle name="40% - Accent6 40" xfId="3149"/>
    <cellStyle name="40% - Accent6 40 2" xfId="3150"/>
    <cellStyle name="40% - Accent6 40 3" xfId="3151"/>
    <cellStyle name="40% - Accent6 5" xfId="3152"/>
    <cellStyle name="40% - Accent6 5 2" xfId="3153"/>
    <cellStyle name="40% - Accent6 5 3" xfId="3154"/>
    <cellStyle name="40% - Accent6 5 4" xfId="3155"/>
    <cellStyle name="40% - Accent6 5 5" xfId="3156"/>
    <cellStyle name="40% - Accent6 5 6" xfId="3157"/>
    <cellStyle name="40% - Accent6 6" xfId="3158"/>
    <cellStyle name="40% - Accent6 6 2" xfId="3159"/>
    <cellStyle name="40% - Accent6 6 3" xfId="3160"/>
    <cellStyle name="40% - Accent6 6 4" xfId="3161"/>
    <cellStyle name="40% - Accent6 6 5" xfId="3162"/>
    <cellStyle name="40% - Accent6 6 6" xfId="3163"/>
    <cellStyle name="40% - Accent6 7" xfId="3164"/>
    <cellStyle name="40% - Accent6 7 2" xfId="3165"/>
    <cellStyle name="40% - Accent6 7 3" xfId="3166"/>
    <cellStyle name="40% - Accent6 7 4" xfId="3167"/>
    <cellStyle name="40% - Accent6 7 5" xfId="3168"/>
    <cellStyle name="40% - Accent6 7 6" xfId="3169"/>
    <cellStyle name="40% - Accent6 8" xfId="3170"/>
    <cellStyle name="40% - Accent6 8 2" xfId="3171"/>
    <cellStyle name="40% - Accent6 8 3" xfId="3172"/>
    <cellStyle name="40% - Accent6 8 4" xfId="3173"/>
    <cellStyle name="40% - Accent6 8 5" xfId="3174"/>
    <cellStyle name="40% - Accent6 8 6" xfId="3175"/>
    <cellStyle name="40% - Accent6 9" xfId="3176"/>
    <cellStyle name="40% - Accent6 9 2" xfId="3177"/>
    <cellStyle name="40% - Accent6 9 3" xfId="3178"/>
    <cellStyle name="40% - Accent6 9 4" xfId="3179"/>
    <cellStyle name="40% - Accent6 9 5" xfId="3180"/>
    <cellStyle name="40% - Accent6 9 6" xfId="3181"/>
    <cellStyle name="5 indents" xfId="95"/>
    <cellStyle name="60% - Accent1" xfId="22" builtinId="32" customBuiltin="1"/>
    <cellStyle name="60% - Accent1 2" xfId="46"/>
    <cellStyle name="60% - Accent1 2 2" xfId="319"/>
    <cellStyle name="60% - Accent1 3" xfId="254"/>
    <cellStyle name="60% - Accent2" xfId="26" builtinId="36" customBuiltin="1"/>
    <cellStyle name="60% - Accent2 2" xfId="80"/>
    <cellStyle name="60% - Accent2 2 2" xfId="320"/>
    <cellStyle name="60% - Accent2 3" xfId="255"/>
    <cellStyle name="60% - Accent3" xfId="30" builtinId="40" customBuiltin="1"/>
    <cellStyle name="60% - Accent3 2" xfId="57"/>
    <cellStyle name="60% - Accent3 2 2" xfId="321"/>
    <cellStyle name="60% - Accent3 3" xfId="256"/>
    <cellStyle name="60% - Accent4" xfId="34" builtinId="44" customBuiltin="1"/>
    <cellStyle name="60% - Accent4 2" xfId="58"/>
    <cellStyle name="60% - Accent4 2 2" xfId="322"/>
    <cellStyle name="60% - Accent4 3" xfId="257"/>
    <cellStyle name="60% - Accent5" xfId="38" builtinId="48" customBuiltin="1"/>
    <cellStyle name="60% - Accent5 2" xfId="75"/>
    <cellStyle name="60% - Accent5 2 2" xfId="323"/>
    <cellStyle name="60% - Accent5 3" xfId="258"/>
    <cellStyle name="60% - Accent6" xfId="42" builtinId="52" customBuiltin="1"/>
    <cellStyle name="60% - Accent6 2" xfId="62"/>
    <cellStyle name="60% - Accent6 2 2" xfId="324"/>
    <cellStyle name="60% - Accent6 3" xfId="259"/>
    <cellStyle name="Accent1" xfId="19" builtinId="29" customBuiltin="1"/>
    <cellStyle name="Accent1 2" xfId="78"/>
    <cellStyle name="Accent1 2 2" xfId="325"/>
    <cellStyle name="Accent1 3" xfId="260"/>
    <cellStyle name="Accent2" xfId="23" builtinId="33" customBuiltin="1"/>
    <cellStyle name="Accent2 2" xfId="67"/>
    <cellStyle name="Accent2 2 2" xfId="326"/>
    <cellStyle name="Accent2 3" xfId="261"/>
    <cellStyle name="Accent3" xfId="27" builtinId="37" customBuiltin="1"/>
    <cellStyle name="Accent3 2" xfId="81"/>
    <cellStyle name="Accent3 2 2" xfId="327"/>
    <cellStyle name="Accent3 3" xfId="262"/>
    <cellStyle name="Accent4" xfId="31" builtinId="41" customBuiltin="1"/>
    <cellStyle name="Accent4 2" xfId="66"/>
    <cellStyle name="Accent4 2 2" xfId="328"/>
    <cellStyle name="Accent4 3" xfId="263"/>
    <cellStyle name="Accent5" xfId="35" builtinId="45" customBuiltin="1"/>
    <cellStyle name="Accent5 2" xfId="61"/>
    <cellStyle name="Accent5 2 2" xfId="329"/>
    <cellStyle name="Accent5 3" xfId="264"/>
    <cellStyle name="Accent6" xfId="39" builtinId="49" customBuiltin="1"/>
    <cellStyle name="Accent6 2" xfId="71"/>
    <cellStyle name="Accent6 2 2" xfId="330"/>
    <cellStyle name="Accent6 3" xfId="265"/>
    <cellStyle name="ANCLAS,REZONES Y SUS PARTES,DE FUNDICION,DE HIERRO O DE ACERO 2" xfId="3473"/>
    <cellStyle name="ANCLAS,REZONES Y SUS PARTES,DE FUNDICION,DE HIERRO O DE ACERO 2 2 3" xfId="3474"/>
    <cellStyle name="AnnotationCells" xfId="331"/>
    <cellStyle name="AnnotationCells 2" xfId="332"/>
    <cellStyle name="Array" xfId="100"/>
    <cellStyle name="Array Enter" xfId="101"/>
    <cellStyle name="Array Enter 2" xfId="3475"/>
    <cellStyle name="Array Enter 3" xfId="3476"/>
    <cellStyle name="Array Enter 4" xfId="3477"/>
    <cellStyle name="Array_BRB BOP Passive" xfId="3478"/>
    <cellStyle name="Bad" xfId="8" builtinId="27" customBuiltin="1"/>
    <cellStyle name="Bad 2" xfId="79"/>
    <cellStyle name="Bad 2 2" xfId="333"/>
    <cellStyle name="Bad 3" xfId="266"/>
    <cellStyle name="Bldgroups" xfId="3479"/>
    <cellStyle name="BusinessReporting" xfId="267"/>
    <cellStyle name="Calculation" xfId="12" builtinId="22" customBuiltin="1"/>
    <cellStyle name="Calculation 2" xfId="50"/>
    <cellStyle name="Calculation 2 2" xfId="334"/>
    <cellStyle name="Calculation 2 2 2" xfId="3481"/>
    <cellStyle name="Calculation 3" xfId="268"/>
    <cellStyle name="Check Cell" xfId="14" builtinId="23" customBuiltin="1"/>
    <cellStyle name="Check Cell 2" xfId="60"/>
    <cellStyle name="Check Cell 2 2" xfId="335"/>
    <cellStyle name="Check Cell 3" xfId="269"/>
    <cellStyle name="checkExposure" xfId="270"/>
    <cellStyle name="Columna destacada" xfId="102"/>
    <cellStyle name="Comma" xfId="1" builtinId="3"/>
    <cellStyle name="Comma 17" xfId="3182"/>
    <cellStyle name="Comma 17 2" xfId="3183"/>
    <cellStyle name="Comma 17 3" xfId="3184"/>
    <cellStyle name="Comma 17 4" xfId="3185"/>
    <cellStyle name="Comma 2" xfId="52"/>
    <cellStyle name="Comma 2 10" xfId="3187"/>
    <cellStyle name="Comma 2 11" xfId="3188"/>
    <cellStyle name="Comma 2 12" xfId="3189"/>
    <cellStyle name="Comma 2 13" xfId="3186"/>
    <cellStyle name="Comma 2 14" xfId="3483"/>
    <cellStyle name="Comma 2 15" xfId="3466"/>
    <cellStyle name="Comma 2 2" xfId="104"/>
    <cellStyle name="Comma 2 2 2" xfId="3190"/>
    <cellStyle name="Comma 2 2 2 2" xfId="3485"/>
    <cellStyle name="Comma 2 2 3" xfId="3484"/>
    <cellStyle name="Comma 2 3" xfId="237"/>
    <cellStyle name="Comma 2 3 2" xfId="3191"/>
    <cellStyle name="Comma 2 3 2 2" xfId="3486"/>
    <cellStyle name="Comma 2 4" xfId="3192"/>
    <cellStyle name="Comma 2 4 2" xfId="3487"/>
    <cellStyle name="Comma 2 45" xfId="3193"/>
    <cellStyle name="Comma 2 5" xfId="3194"/>
    <cellStyle name="Comma 2 5 2" xfId="3488"/>
    <cellStyle name="Comma 2 6" xfId="3195"/>
    <cellStyle name="Comma 2 6 2" xfId="3489"/>
    <cellStyle name="Comma 2 7" xfId="3196"/>
    <cellStyle name="Comma 2 8" xfId="3197"/>
    <cellStyle name="Comma 2 9" xfId="3198"/>
    <cellStyle name="Comma 3" xfId="105"/>
    <cellStyle name="Comma 3 2" xfId="336"/>
    <cellStyle name="Comma 3 2 2" xfId="3199"/>
    <cellStyle name="Comma 3 2 3" xfId="3490"/>
    <cellStyle name="Comma 3 3" xfId="3200"/>
    <cellStyle name="Comma 3 4" xfId="3201"/>
    <cellStyle name="Comma 3 4 2" xfId="3491"/>
    <cellStyle name="Comma 3 5" xfId="3202"/>
    <cellStyle name="Comma 3 6" xfId="3203"/>
    <cellStyle name="Comma 3 7" xfId="3446"/>
    <cellStyle name="Comma 4" xfId="103"/>
    <cellStyle name="Comma 4 2" xfId="337"/>
    <cellStyle name="Comma 4 2 2" xfId="3493"/>
    <cellStyle name="Comma 4 3" xfId="3204"/>
    <cellStyle name="Comma 4 3 2" xfId="3494"/>
    <cellStyle name="Comma 4 4" xfId="3492"/>
    <cellStyle name="Comma 5" xfId="271"/>
    <cellStyle name="Comma 5 2" xfId="338"/>
    <cellStyle name="Comma 5 2 2" xfId="3496"/>
    <cellStyle name="Comma 5 3" xfId="3495"/>
    <cellStyle name="Comma 6" xfId="339"/>
    <cellStyle name="Comma 6 2" xfId="3498"/>
    <cellStyle name="Comma 6 3" xfId="3497"/>
    <cellStyle name="Comma 7" xfId="340"/>
    <cellStyle name="Comma 7 2" xfId="3499"/>
    <cellStyle name="Comma 8" xfId="341"/>
    <cellStyle name="Comma 8 2" xfId="3500"/>
    <cellStyle name="Comma 9" xfId="3482"/>
    <cellStyle name="Comma0" xfId="3501"/>
    <cellStyle name="Currency 2" xfId="106"/>
    <cellStyle name="Currency 2 2" xfId="3445"/>
    <cellStyle name="Currency 2 2 2" xfId="3502"/>
    <cellStyle name="Currency 2 3" xfId="3503"/>
    <cellStyle name="Currency 3" xfId="107"/>
    <cellStyle name="Currency 3 2" xfId="3505"/>
    <cellStyle name="Currency 3 3" xfId="3506"/>
    <cellStyle name="Currency0" xfId="3507"/>
    <cellStyle name="Custom - Style8" xfId="108"/>
    <cellStyle name="Data   - Style2" xfId="109"/>
    <cellStyle name="Data   - Style2 2" xfId="3508"/>
    <cellStyle name="DataCells" xfId="342"/>
    <cellStyle name="DataCells 2" xfId="343"/>
    <cellStyle name="Date" xfId="3509"/>
    <cellStyle name="Euro" xfId="110"/>
    <cellStyle name="Euro 2" xfId="111"/>
    <cellStyle name="Euro 2 2" xfId="344"/>
    <cellStyle name="Euro 3" xfId="112"/>
    <cellStyle name="Euro 3 2" xfId="345"/>
    <cellStyle name="Euro 4" xfId="272"/>
    <cellStyle name="Euro 4 2" xfId="346"/>
    <cellStyle name="Excel.Chart" xfId="3510"/>
    <cellStyle name="Explanatory Text" xfId="17" builtinId="53" customBuiltin="1"/>
    <cellStyle name="Explanatory Text 2" xfId="65"/>
    <cellStyle name="Explanatory Text 2 2" xfId="347"/>
    <cellStyle name="Explanatory Text 3" xfId="273"/>
    <cellStyle name="Fila a" xfId="113"/>
    <cellStyle name="Fila a 2" xfId="3512"/>
    <cellStyle name="Fila b" xfId="114"/>
    <cellStyle name="Fila b 2" xfId="3513"/>
    <cellStyle name="Fixed" xfId="3514"/>
    <cellStyle name="Followed Hyperlink" xfId="3844" builtinId="9" hidden="1"/>
    <cellStyle name="Followed Hyperlink" xfId="3846" builtinId="9" hidden="1"/>
    <cellStyle name="Followed Hyperlink" xfId="3848" builtinId="9" hidden="1"/>
    <cellStyle name="Followed Hyperlink" xfId="3850" builtinId="9" hidden="1"/>
    <cellStyle name="Followed Hyperlink" xfId="3852" builtinId="9" hidden="1"/>
    <cellStyle name="Followed Hyperlink" xfId="3854" builtinId="9" hidden="1"/>
    <cellStyle name="Followed Hyperlink" xfId="3856" builtinId="9" hidden="1"/>
    <cellStyle name="Followed Hyperlink" xfId="3858" builtinId="9" hidden="1"/>
    <cellStyle name="Followed Hyperlink" xfId="3860" builtinId="9" hidden="1"/>
    <cellStyle name="Followed Hyperlink" xfId="3862" builtinId="9" hidden="1"/>
    <cellStyle name="Followed Hyperlink" xfId="3864" builtinId="9" hidden="1"/>
    <cellStyle name="Followed Hyperlink" xfId="3866" builtinId="9" hidden="1"/>
    <cellStyle name="Followed Hyperlink" xfId="3868" builtinId="9" hidden="1"/>
    <cellStyle name="Good" xfId="7" builtinId="26" customBuiltin="1"/>
    <cellStyle name="Good 2" xfId="77"/>
    <cellStyle name="Good 2 2" xfId="348"/>
    <cellStyle name="Good 3" xfId="274"/>
    <cellStyle name="Grey" xfId="115"/>
    <cellStyle name="greyed" xfId="275"/>
    <cellStyle name="Heading 1" xfId="3" builtinId="16" customBuiltin="1"/>
    <cellStyle name="Heading 1 2" xfId="74"/>
    <cellStyle name="Heading 1 2 2" xfId="349"/>
    <cellStyle name="Heading 1 2 2 2" xfId="3515"/>
    <cellStyle name="Heading 1 2 3" xfId="3516"/>
    <cellStyle name="Heading 1 3" xfId="276"/>
    <cellStyle name="Heading 1 3 2" xfId="3517"/>
    <cellStyle name="Heading 2" xfId="4" builtinId="17" customBuiltin="1"/>
    <cellStyle name="Heading 2 2" xfId="76"/>
    <cellStyle name="Heading 2 2 2" xfId="350"/>
    <cellStyle name="Heading 2 2 2 2" xfId="3518"/>
    <cellStyle name="Heading 2 2 3" xfId="3519"/>
    <cellStyle name="Heading 2 3" xfId="277"/>
    <cellStyle name="Heading 2 3 2" xfId="3520"/>
    <cellStyle name="Heading 3" xfId="5" builtinId="18" customBuiltin="1"/>
    <cellStyle name="Heading 3 2" xfId="59"/>
    <cellStyle name="Heading 3 2 2" xfId="351"/>
    <cellStyle name="Heading 3 3" xfId="278"/>
    <cellStyle name="Heading 4" xfId="6" builtinId="19" customBuiltin="1"/>
    <cellStyle name="Heading 4 2" xfId="68"/>
    <cellStyle name="Heading 4 2 2" xfId="352"/>
    <cellStyle name="Heading 4 3" xfId="279"/>
    <cellStyle name="highlightExposure" xfId="280"/>
    <cellStyle name="highlightText" xfId="281"/>
    <cellStyle name="Hipervínculo_IIF" xfId="116"/>
    <cellStyle name="Hyperlink" xfId="3843" builtinId="8" hidden="1"/>
    <cellStyle name="Hyperlink" xfId="3845" builtinId="8" hidden="1"/>
    <cellStyle name="Hyperlink" xfId="3847" builtinId="8" hidden="1"/>
    <cellStyle name="Hyperlink" xfId="3849" builtinId="8" hidden="1"/>
    <cellStyle name="Hyperlink" xfId="3851" builtinId="8" hidden="1"/>
    <cellStyle name="Hyperlink" xfId="3853" builtinId="8" hidden="1"/>
    <cellStyle name="Hyperlink" xfId="3855" builtinId="8" hidden="1"/>
    <cellStyle name="Hyperlink" xfId="3857" builtinId="8" hidden="1"/>
    <cellStyle name="Hyperlink" xfId="3859" builtinId="8" hidden="1"/>
    <cellStyle name="Hyperlink" xfId="3861" builtinId="8" hidden="1"/>
    <cellStyle name="Hyperlink" xfId="3863" builtinId="8" hidden="1"/>
    <cellStyle name="Hyperlink" xfId="3865" builtinId="8" hidden="1"/>
    <cellStyle name="Hyperlink" xfId="3867" builtinId="8" hidden="1"/>
    <cellStyle name="Hyperlink 2" xfId="3523"/>
    <cellStyle name="Hyperlink 3" xfId="3524"/>
    <cellStyle name="Hyperlink 5" xfId="3525"/>
    <cellStyle name="imf-one decimal" xfId="117"/>
    <cellStyle name="imf-zero decimal" xfId="118"/>
    <cellStyle name="Input" xfId="10" builtinId="20" customBuiltin="1"/>
    <cellStyle name="Input [yellow]" xfId="119"/>
    <cellStyle name="Input [yellow] 2" xfId="3527"/>
    <cellStyle name="Input 10" xfId="185"/>
    <cellStyle name="Input 10 2" xfId="3528"/>
    <cellStyle name="Input 11" xfId="180"/>
    <cellStyle name="Input 11 2" xfId="3530"/>
    <cellStyle name="Input 12" xfId="223"/>
    <cellStyle name="Input 12 2" xfId="3531"/>
    <cellStyle name="Input 13" xfId="219"/>
    <cellStyle name="Input 13 2" xfId="3532"/>
    <cellStyle name="Input 14" xfId="282"/>
    <cellStyle name="Input 15" xfId="302"/>
    <cellStyle name="Input 16" xfId="301"/>
    <cellStyle name="Input 17" xfId="3444"/>
    <cellStyle name="Input 18" xfId="3447"/>
    <cellStyle name="Input 2" xfId="72"/>
    <cellStyle name="Input 2 2" xfId="353"/>
    <cellStyle name="Input 2 2 2" xfId="3534"/>
    <cellStyle name="Input 3" xfId="179"/>
    <cellStyle name="Input 3 2" xfId="3535"/>
    <cellStyle name="Input 4" xfId="182"/>
    <cellStyle name="Input 4 2" xfId="3537"/>
    <cellStyle name="Input 5" xfId="178"/>
    <cellStyle name="Input 5 2" xfId="3538"/>
    <cellStyle name="Input 6" xfId="183"/>
    <cellStyle name="Input 6 2" xfId="3539"/>
    <cellStyle name="Input 7" xfId="177"/>
    <cellStyle name="Input 7 2" xfId="3540"/>
    <cellStyle name="Input 8" xfId="184"/>
    <cellStyle name="Input 8 2" xfId="3541"/>
    <cellStyle name="Input 9" xfId="181"/>
    <cellStyle name="Input 9 2" xfId="3543"/>
    <cellStyle name="inputDate" xfId="283"/>
    <cellStyle name="inputExposure" xfId="284"/>
    <cellStyle name="inputSelection" xfId="285"/>
    <cellStyle name="Items" xfId="3544"/>
    <cellStyle name="Labels - Style3" xfId="120"/>
    <cellStyle name="Labels - Style3 2" xfId="3545"/>
    <cellStyle name="Linked Cell" xfId="13" builtinId="24" customBuiltin="1"/>
    <cellStyle name="Linked Cell 2" xfId="73"/>
    <cellStyle name="Linked Cell 2 2" xfId="354"/>
    <cellStyle name="Linked Cell 3" xfId="286"/>
    <cellStyle name="MacroCode" xfId="121"/>
    <cellStyle name="Millares [0]_11.1.3. bis" xfId="3546"/>
    <cellStyle name="Millares_11.1.3. bis" xfId="3547"/>
    <cellStyle name="Milliers [0]_Encours - Apr rééch" xfId="122"/>
    <cellStyle name="Milliers_Encours - Apr rééch" xfId="123"/>
    <cellStyle name="Moneda [0]_11.1.3. bis" xfId="3548"/>
    <cellStyle name="Moneda_11.1.3. bis" xfId="3549"/>
    <cellStyle name="Monétaire [0]_Encours - Apr rééch" xfId="124"/>
    <cellStyle name="Monétaire_Encours - Apr rééch" xfId="125"/>
    <cellStyle name="Neutral" xfId="9" builtinId="28" customBuiltin="1"/>
    <cellStyle name="Neutral 2" xfId="70"/>
    <cellStyle name="Neutral 2 2" xfId="355"/>
    <cellStyle name="Neutral 3" xfId="287"/>
    <cellStyle name="No-definido" xfId="126"/>
    <cellStyle name="Normal" xfId="0" builtinId="0"/>
    <cellStyle name="Normal - Modelo1" xfId="127"/>
    <cellStyle name="Normal - Style1" xfId="128"/>
    <cellStyle name="Normal - Style2" xfId="129"/>
    <cellStyle name="Normal - Style3" xfId="3550"/>
    <cellStyle name="Normal 10" xfId="130"/>
    <cellStyle name="Normal 10 2" xfId="3206"/>
    <cellStyle name="Normal 10 2 2" xfId="3552"/>
    <cellStyle name="Normal 10 3" xfId="3207"/>
    <cellStyle name="Normal 10 3 2" xfId="3553"/>
    <cellStyle name="Normal 10 4" xfId="3205"/>
    <cellStyle name="Normal 10 5" xfId="3551"/>
    <cellStyle name="Normal 100" xfId="3803"/>
    <cellStyle name="Normal 101" xfId="3804"/>
    <cellStyle name="Normal 102" xfId="3805"/>
    <cellStyle name="Normal 103" xfId="3806"/>
    <cellStyle name="Normal 104" xfId="3807"/>
    <cellStyle name="Normal 105" xfId="3809"/>
    <cellStyle name="Normal 106" xfId="3810"/>
    <cellStyle name="Normal 107" xfId="3811"/>
    <cellStyle name="Normal 108" xfId="3812"/>
    <cellStyle name="Normal 109" xfId="3813"/>
    <cellStyle name="Normal 11" xfId="86"/>
    <cellStyle name="Normal 11 2" xfId="3555"/>
    <cellStyle name="Normal 11 3" xfId="3556"/>
    <cellStyle name="Normal 11 4" xfId="3554"/>
    <cellStyle name="Normal 110" xfId="3814"/>
    <cellStyle name="Normal 111" xfId="3815"/>
    <cellStyle name="Normal 112" xfId="3816"/>
    <cellStyle name="Normal 113" xfId="3817"/>
    <cellStyle name="Normal 114" xfId="3818"/>
    <cellStyle name="Normal 115" xfId="3819"/>
    <cellStyle name="Normal 116" xfId="3820"/>
    <cellStyle name="Normal 117" xfId="3821"/>
    <cellStyle name="Normal 118" xfId="3822"/>
    <cellStyle name="Normal 119" xfId="3823"/>
    <cellStyle name="Normal 12" xfId="158"/>
    <cellStyle name="Normal 12 2" xfId="3558"/>
    <cellStyle name="Normal 12 3" xfId="3559"/>
    <cellStyle name="Normal 12 4" xfId="3557"/>
    <cellStyle name="Normal 120" xfId="3824"/>
    <cellStyle name="Normal 121" xfId="3808"/>
    <cellStyle name="Normal 122" xfId="3825"/>
    <cellStyle name="Normal 123" xfId="3826"/>
    <cellStyle name="Normal 124" xfId="3827"/>
    <cellStyle name="Normal 125" xfId="3828"/>
    <cellStyle name="Normal 125 2" xfId="3208"/>
    <cellStyle name="Normal 125 3" xfId="3209"/>
    <cellStyle name="Normal 126" xfId="3829"/>
    <cellStyle name="Normal 127" xfId="3830"/>
    <cellStyle name="Normal 128" xfId="3831"/>
    <cellStyle name="Normal 129" xfId="3832"/>
    <cellStyle name="Normal 13" xfId="196"/>
    <cellStyle name="Normal 13 2" xfId="3560"/>
    <cellStyle name="Normal 13 3" xfId="3561"/>
    <cellStyle name="Normal 130" xfId="3833"/>
    <cellStyle name="Normal 131" xfId="3834"/>
    <cellStyle name="Normal 132" xfId="3835"/>
    <cellStyle name="Normal 133" xfId="3836"/>
    <cellStyle name="Normal 134" xfId="3837"/>
    <cellStyle name="Normal 135" xfId="3838"/>
    <cellStyle name="Normal 136" xfId="3839"/>
    <cellStyle name="Normal 137" xfId="3464"/>
    <cellStyle name="Normal 14" xfId="197"/>
    <cellStyle name="Normal 14 2" xfId="3210"/>
    <cellStyle name="Normal 14 2 2" xfId="3563"/>
    <cellStyle name="Normal 14 2 3" xfId="3562"/>
    <cellStyle name="Normal 14 3" xfId="3564"/>
    <cellStyle name="Normal 15" xfId="198"/>
    <cellStyle name="Normal 15 2" xfId="3211"/>
    <cellStyle name="Normal 15 2 2" xfId="3565"/>
    <cellStyle name="Normal 15 3" xfId="3566"/>
    <cellStyle name="Normal 157" xfId="3567"/>
    <cellStyle name="Normal 159" xfId="3212"/>
    <cellStyle name="Normal 159 2" xfId="3213"/>
    <cellStyle name="Normal 159 3" xfId="3214"/>
    <cellStyle name="Normal 159 4" xfId="3215"/>
    <cellStyle name="Normal 159 5" xfId="3216"/>
    <cellStyle name="Normal 159 6" xfId="3217"/>
    <cellStyle name="Normal 16" xfId="200"/>
    <cellStyle name="Normal 16 2" xfId="3218"/>
    <cellStyle name="Normal 16 2 2" xfId="3569"/>
    <cellStyle name="Normal 16 3" xfId="3570"/>
    <cellStyle name="Normal 17" xfId="201"/>
    <cellStyle name="Normal 17 2" xfId="3219"/>
    <cellStyle name="Normal 17 2 2" xfId="3571"/>
    <cellStyle name="Normal 17 3" xfId="3572"/>
    <cellStyle name="Normal 18" xfId="199"/>
    <cellStyle name="Normal 18 2" xfId="3573"/>
    <cellStyle name="Normal 18 3" xfId="3574"/>
    <cellStyle name="Normal 19" xfId="202"/>
    <cellStyle name="Normal 19 2" xfId="3575"/>
    <cellStyle name="Normal 19 3" xfId="3576"/>
    <cellStyle name="Normal 2" xfId="55"/>
    <cellStyle name="Normal 2 10" xfId="3221"/>
    <cellStyle name="Normal 2 11" xfId="3222"/>
    <cellStyle name="Normal 2 12" xfId="3223"/>
    <cellStyle name="Normal 2 13" xfId="3224"/>
    <cellStyle name="Normal 2 14" xfId="3225"/>
    <cellStyle name="Normal 2 15" xfId="3226"/>
    <cellStyle name="Normal 2 16" xfId="3227"/>
    <cellStyle name="Normal 2 17" xfId="3228"/>
    <cellStyle name="Normal 2 18" xfId="3229"/>
    <cellStyle name="Normal 2 19" xfId="3230"/>
    <cellStyle name="Normal 2 2" xfId="236"/>
    <cellStyle name="Normal 2 2 2" xfId="357"/>
    <cellStyle name="Normal 2 2 2 2" xfId="3580"/>
    <cellStyle name="Normal 2 2 2 3" xfId="3579"/>
    <cellStyle name="Normal 2 2 3" xfId="3231"/>
    <cellStyle name="Normal 2 2 3 2" xfId="3581"/>
    <cellStyle name="Normal 2 2 4" xfId="3582"/>
    <cellStyle name="Normal 2 2 5" xfId="3578"/>
    <cellStyle name="Normal 2 20" xfId="3232"/>
    <cellStyle name="Normal 2 21" xfId="3233"/>
    <cellStyle name="Normal 2 22" xfId="3234"/>
    <cellStyle name="Normal 2 23" xfId="3235"/>
    <cellStyle name="Normal 2 24" xfId="3236"/>
    <cellStyle name="Normal 2 25" xfId="3237"/>
    <cellStyle name="Normal 2 26" xfId="3238"/>
    <cellStyle name="Normal 2 27" xfId="3239"/>
    <cellStyle name="Normal 2 28" xfId="3240"/>
    <cellStyle name="Normal 2 29" xfId="3241"/>
    <cellStyle name="Normal 2 3" xfId="356"/>
    <cellStyle name="Normal 2 3 2" xfId="3242"/>
    <cellStyle name="Normal 2 3 2 2" xfId="3584"/>
    <cellStyle name="Normal 2 3 3" xfId="3583"/>
    <cellStyle name="Normal 2 30" xfId="3243"/>
    <cellStyle name="Normal 2 31" xfId="3244"/>
    <cellStyle name="Normal 2 32" xfId="3245"/>
    <cellStyle name="Normal 2 33" xfId="3246"/>
    <cellStyle name="Normal 2 34" xfId="3247"/>
    <cellStyle name="Normal 2 35" xfId="3248"/>
    <cellStyle name="Normal 2 36" xfId="3249"/>
    <cellStyle name="Normal 2 37" xfId="3250"/>
    <cellStyle name="Normal 2 38" xfId="3251"/>
    <cellStyle name="Normal 2 39" xfId="3252"/>
    <cellStyle name="Normal 2 4" xfId="3253"/>
    <cellStyle name="Normal 2 4 2" xfId="3586"/>
    <cellStyle name="Normal 2 4 3" xfId="3585"/>
    <cellStyle name="Normal 2 40" xfId="3254"/>
    <cellStyle name="Normal 2 41" xfId="3255"/>
    <cellStyle name="Normal 2 42" xfId="3256"/>
    <cellStyle name="Normal 2 43" xfId="3257"/>
    <cellStyle name="Normal 2 44" xfId="3258"/>
    <cellStyle name="Normal 2 45" xfId="3259"/>
    <cellStyle name="Normal 2 46" xfId="3260"/>
    <cellStyle name="Normal 2 47" xfId="3261"/>
    <cellStyle name="Normal 2 48" xfId="3262"/>
    <cellStyle name="Normal 2 49" xfId="3263"/>
    <cellStyle name="Normal 2 5" xfId="3264"/>
    <cellStyle name="Normal 2 5 2" xfId="3587"/>
    <cellStyle name="Normal 2 50" xfId="3265"/>
    <cellStyle name="Normal 2 51" xfId="3266"/>
    <cellStyle name="Normal 2 52" xfId="3267"/>
    <cellStyle name="Normal 2 53" xfId="3268"/>
    <cellStyle name="Normal 2 54" xfId="3269"/>
    <cellStyle name="Normal 2 55" xfId="3270"/>
    <cellStyle name="Normal 2 56" xfId="3271"/>
    <cellStyle name="Normal 2 57" xfId="3272"/>
    <cellStyle name="Normal 2 58" xfId="3273"/>
    <cellStyle name="Normal 2 59" xfId="3274"/>
    <cellStyle name="Normal 2 6" xfId="3275"/>
    <cellStyle name="Normal 2 60" xfId="3276"/>
    <cellStyle name="Normal 2 61" xfId="3277"/>
    <cellStyle name="Normal 2 62" xfId="3278"/>
    <cellStyle name="Normal 2 63" xfId="3279"/>
    <cellStyle name="Normal 2 64" xfId="3280"/>
    <cellStyle name="Normal 2 65" xfId="3281"/>
    <cellStyle name="Normal 2 66" xfId="3282"/>
    <cellStyle name="Normal 2 67" xfId="3283"/>
    <cellStyle name="Normal 2 68" xfId="3284"/>
    <cellStyle name="Normal 2 69" xfId="3285"/>
    <cellStyle name="Normal 2 7" xfId="3286"/>
    <cellStyle name="Normal 2 70" xfId="3287"/>
    <cellStyle name="Normal 2 71" xfId="3288"/>
    <cellStyle name="Normal 2 72" xfId="3289"/>
    <cellStyle name="Normal 2 73" xfId="3220"/>
    <cellStyle name="Normal 2 74" xfId="3449"/>
    <cellStyle name="Normal 2 75" xfId="3450"/>
    <cellStyle name="Normal 2 76" xfId="3451"/>
    <cellStyle name="Normal 2 77" xfId="3577"/>
    <cellStyle name="Normal 2 78" xfId="3842"/>
    <cellStyle name="Normal 2 8" xfId="3290"/>
    <cellStyle name="Normal 2 9" xfId="3291"/>
    <cellStyle name="Normal 2_List of Outst Wire Trans 2013" xfId="3480"/>
    <cellStyle name="Normal 20" xfId="203"/>
    <cellStyle name="Normal 20 2" xfId="3588"/>
    <cellStyle name="Normal 20 3" xfId="3589"/>
    <cellStyle name="Normal 21" xfId="204"/>
    <cellStyle name="Normal 21 2" xfId="3590"/>
    <cellStyle name="Normal 21 3" xfId="3591"/>
    <cellStyle name="Normal 22" xfId="205"/>
    <cellStyle name="Normal 22 2" xfId="3592"/>
    <cellStyle name="Normal 22 3" xfId="3593"/>
    <cellStyle name="Normal 23" xfId="206"/>
    <cellStyle name="Normal 23 2" xfId="3594"/>
    <cellStyle name="Normal 23 3" xfId="3595"/>
    <cellStyle name="Normal 24" xfId="207"/>
    <cellStyle name="Normal 24 2" xfId="3596"/>
    <cellStyle name="Normal 24 3" xfId="3597"/>
    <cellStyle name="Normal 25" xfId="208"/>
    <cellStyle name="Normal 255" xfId="3292"/>
    <cellStyle name="Normal 26" xfId="209"/>
    <cellStyle name="Normal 27" xfId="210"/>
    <cellStyle name="Normal 28" xfId="211"/>
    <cellStyle name="Normal 29" xfId="212"/>
    <cellStyle name="Normal 3" xfId="131"/>
    <cellStyle name="Normal 3 10" xfId="3294"/>
    <cellStyle name="Normal 3 11" xfId="3295"/>
    <cellStyle name="Normal 3 12" xfId="3296"/>
    <cellStyle name="Normal 3 13" xfId="3297"/>
    <cellStyle name="Normal 3 14" xfId="3298"/>
    <cellStyle name="Normal 3 15" xfId="3299"/>
    <cellStyle name="Normal 3 16" xfId="3293"/>
    <cellStyle name="Normal 3 2" xfId="231"/>
    <cellStyle name="Normal 3 2 2" xfId="3300"/>
    <cellStyle name="Normal 3 2 2 2" xfId="3599"/>
    <cellStyle name="Normal 3 2 3" xfId="3600"/>
    <cellStyle name="Normal 3 2 4" xfId="3598"/>
    <cellStyle name="Normal 3 3" xfId="288"/>
    <cellStyle name="Normal 3 3 2" xfId="3301"/>
    <cellStyle name="Normal 3 3 2 2" xfId="3602"/>
    <cellStyle name="Normal 3 3 3" xfId="3601"/>
    <cellStyle name="Normal 3 4" xfId="3302"/>
    <cellStyle name="Normal 3 4 2" xfId="3603"/>
    <cellStyle name="Normal 3 5" xfId="3303"/>
    <cellStyle name="Normal 3 6" xfId="3304"/>
    <cellStyle name="Normal 3 7" xfId="3305"/>
    <cellStyle name="Normal 3 8" xfId="3306"/>
    <cellStyle name="Normal 3 9" xfId="3307"/>
    <cellStyle name="Normal 30" xfId="213"/>
    <cellStyle name="Normal 30 2" xfId="3604"/>
    <cellStyle name="Normal 30 3" xfId="3605"/>
    <cellStyle name="Normal 31" xfId="214"/>
    <cellStyle name="Normal 31 2" xfId="3309"/>
    <cellStyle name="Normal 31 3" xfId="3310"/>
    <cellStyle name="Normal 31 4" xfId="3311"/>
    <cellStyle name="Normal 31 5" xfId="3308"/>
    <cellStyle name="Normal 32" xfId="215"/>
    <cellStyle name="Normal 32 2" xfId="3312"/>
    <cellStyle name="Normal 32 3" xfId="3313"/>
    <cellStyle name="Normal 32 4" xfId="3314"/>
    <cellStyle name="Normal 33" xfId="216"/>
    <cellStyle name="Normal 33 2" xfId="3316"/>
    <cellStyle name="Normal 33 2 2" xfId="3607"/>
    <cellStyle name="Normal 33 3" xfId="3317"/>
    <cellStyle name="Normal 33 4" xfId="3318"/>
    <cellStyle name="Normal 33 5" xfId="3315"/>
    <cellStyle name="Normal 34" xfId="217"/>
    <cellStyle name="Normal 34 2" xfId="3320"/>
    <cellStyle name="Normal 34 2 2" xfId="3608"/>
    <cellStyle name="Normal 34 3" xfId="3321"/>
    <cellStyle name="Normal 34 4" xfId="3319"/>
    <cellStyle name="Normal 35" xfId="218"/>
    <cellStyle name="Normal 35 2" xfId="3322"/>
    <cellStyle name="Normal 35 2 2" xfId="3609"/>
    <cellStyle name="Normal 36" xfId="225"/>
    <cellStyle name="Normal 36 2" xfId="3323"/>
    <cellStyle name="Normal 36 2 2" xfId="3610"/>
    <cellStyle name="Normal 37" xfId="220"/>
    <cellStyle name="Normal 37 2" xfId="3611"/>
    <cellStyle name="Normal 38" xfId="222"/>
    <cellStyle name="Normal 38 2" xfId="3324"/>
    <cellStyle name="Normal 38 2 2" xfId="3612"/>
    <cellStyle name="Normal 39" xfId="227"/>
    <cellStyle name="Normal 39 2" xfId="3325"/>
    <cellStyle name="Normal 39 2 2" xfId="3613"/>
    <cellStyle name="Normal 4" xfId="132"/>
    <cellStyle name="Normal 4 2" xfId="221"/>
    <cellStyle name="Normal 4 2 2" xfId="3327"/>
    <cellStyle name="Normal 4 2 2 2" xfId="3615"/>
    <cellStyle name="Normal 4 2 3" xfId="3614"/>
    <cellStyle name="Normal 4 3" xfId="289"/>
    <cellStyle name="Normal 4 3 2" xfId="358"/>
    <cellStyle name="Normal 4 3 2 2" xfId="3616"/>
    <cellStyle name="Normal 4 4" xfId="359"/>
    <cellStyle name="Normal 4 5" xfId="3326"/>
    <cellStyle name="Normal 4 6" xfId="3454"/>
    <cellStyle name="Normal 40" xfId="228"/>
    <cellStyle name="Normal 40 2" xfId="3328"/>
    <cellStyle name="Normal 40 2 2" xfId="3617"/>
    <cellStyle name="Normal 41" xfId="229"/>
    <cellStyle name="Normal 41 2" xfId="3330"/>
    <cellStyle name="Normal 41 2 2" xfId="3618"/>
    <cellStyle name="Normal 41 3" xfId="3331"/>
    <cellStyle name="Normal 41 4" xfId="3329"/>
    <cellStyle name="Normal 42" xfId="230"/>
    <cellStyle name="Normal 42 2" xfId="3332"/>
    <cellStyle name="Normal 42 2 2" xfId="3619"/>
    <cellStyle name="Normal 43" xfId="232"/>
    <cellStyle name="Normal 43 2" xfId="3620"/>
    <cellStyle name="Normal 44" xfId="233"/>
    <cellStyle name="Normal 44 2" xfId="3334"/>
    <cellStyle name="Normal 44 2 2" xfId="3621"/>
    <cellStyle name="Normal 44 3" xfId="3335"/>
    <cellStyle name="Normal 44 4" xfId="3333"/>
    <cellStyle name="Normal 45" xfId="234"/>
    <cellStyle name="Normal 45 2" xfId="3337"/>
    <cellStyle name="Normal 45 2 2" xfId="3622"/>
    <cellStyle name="Normal 45 3" xfId="3338"/>
    <cellStyle name="Normal 45 4" xfId="3336"/>
    <cellStyle name="Normal 46" xfId="235"/>
    <cellStyle name="Normal 46 2" xfId="3623"/>
    <cellStyle name="Normal 47" xfId="238"/>
    <cellStyle name="Normal 47 2" xfId="3339"/>
    <cellStyle name="Normal 47 2 2" xfId="3625"/>
    <cellStyle name="Normal 48" xfId="239"/>
    <cellStyle name="Normal 48 2" xfId="3626"/>
    <cellStyle name="Normal 49" xfId="240"/>
    <cellStyle name="Normal 49 2" xfId="3628"/>
    <cellStyle name="Normal 49 3" xfId="3627"/>
    <cellStyle name="Normal 5" xfId="133"/>
    <cellStyle name="Normal 5 2" xfId="360"/>
    <cellStyle name="Normal 5 2 2" xfId="3341"/>
    <cellStyle name="Normal 5 2 2 2" xfId="3631"/>
    <cellStyle name="Normal 5 2 3" xfId="3630"/>
    <cellStyle name="Normal 5 3" xfId="3340"/>
    <cellStyle name="Normal 5 3 2" xfId="3632"/>
    <cellStyle name="Normal 5 4" xfId="3629"/>
    <cellStyle name="Normal 5 5" xfId="3841"/>
    <cellStyle name="Normal 50" xfId="298"/>
    <cellStyle name="Normal 50 2" xfId="3633"/>
    <cellStyle name="Normal 51" xfId="304"/>
    <cellStyle name="Normal 51 2" xfId="3452"/>
    <cellStyle name="Normal 51 3" xfId="3634"/>
    <cellStyle name="Normal 52" xfId="305"/>
    <cellStyle name="Normal 52 2" xfId="3635"/>
    <cellStyle name="Normal 53" xfId="368"/>
    <cellStyle name="Normal 53 2" xfId="3636"/>
    <cellStyle name="Normal 54" xfId="374"/>
    <cellStyle name="Normal 54 2" xfId="3637"/>
    <cellStyle name="Normal 55" xfId="371"/>
    <cellStyle name="Normal 55 2" xfId="3639"/>
    <cellStyle name="Normal 56" xfId="375"/>
    <cellStyle name="Normal 56 2" xfId="3640"/>
    <cellStyle name="Normal 57" xfId="3438"/>
    <cellStyle name="Normal 57 2" xfId="3641"/>
    <cellStyle name="Normal 58" xfId="3448"/>
    <cellStyle name="Normal 58 2" xfId="3642"/>
    <cellStyle name="Normal 59" xfId="3441"/>
    <cellStyle name="Normal 59 2" xfId="3643"/>
    <cellStyle name="Normal 6" xfId="134"/>
    <cellStyle name="Normal 6 2" xfId="361"/>
    <cellStyle name="Normal 6 2 2" xfId="3646"/>
    <cellStyle name="Normal 6 2 3" xfId="3645"/>
    <cellStyle name="Normal 6 3" xfId="3342"/>
    <cellStyle name="Normal 6 3 2" xfId="3647"/>
    <cellStyle name="Normal 6 4" xfId="3644"/>
    <cellStyle name="Normal 60" xfId="3440"/>
    <cellStyle name="Normal 60 2" xfId="3648"/>
    <cellStyle name="Normal 61" xfId="3442"/>
    <cellStyle name="Normal 61 2" xfId="3649"/>
    <cellStyle name="Normal 62" xfId="3453"/>
    <cellStyle name="Normal 62 2" xfId="3650"/>
    <cellStyle name="Normal 63" xfId="3651"/>
    <cellStyle name="Normal 64" xfId="3652"/>
    <cellStyle name="Normal 65" xfId="3653"/>
    <cellStyle name="Normal 66" xfId="3654"/>
    <cellStyle name="Normal 67" xfId="3655"/>
    <cellStyle name="Normal 68" xfId="3656"/>
    <cellStyle name="Normal 69" xfId="3657"/>
    <cellStyle name="Normal 7" xfId="135"/>
    <cellStyle name="Normal 7 2" xfId="3343"/>
    <cellStyle name="Normal 7 2 2" xfId="3659"/>
    <cellStyle name="Normal 7 3" xfId="3660"/>
    <cellStyle name="Normal 7 4" xfId="3658"/>
    <cellStyle name="Normal 70" xfId="3661"/>
    <cellStyle name="Normal 71" xfId="3662"/>
    <cellStyle name="Normal 72" xfId="3663"/>
    <cellStyle name="Normal 73" xfId="3664"/>
    <cellStyle name="Normal 74" xfId="3665"/>
    <cellStyle name="Normal 75" xfId="3666"/>
    <cellStyle name="Normal 76" xfId="3667"/>
    <cellStyle name="Normal 77" xfId="3668"/>
    <cellStyle name="Normal 78" xfId="3669"/>
    <cellStyle name="Normal 79" xfId="3670"/>
    <cellStyle name="Normal 8" xfId="136"/>
    <cellStyle name="Normal 8 2" xfId="3345"/>
    <cellStyle name="Normal 8 2 2" xfId="3671"/>
    <cellStyle name="Normal 8 3" xfId="3346"/>
    <cellStyle name="Normal 8 3 2" xfId="3672"/>
    <cellStyle name="Normal 8 4" xfId="3347"/>
    <cellStyle name="Normal 8 5" xfId="3348"/>
    <cellStyle name="Normal 8 6" xfId="3349"/>
    <cellStyle name="Normal 8 7" xfId="3344"/>
    <cellStyle name="Normal 80" xfId="3673"/>
    <cellStyle name="Normal 81" xfId="3674"/>
    <cellStyle name="Normal 82" xfId="3675"/>
    <cellStyle name="Normal 83" xfId="3676"/>
    <cellStyle name="Normal 84" xfId="3677"/>
    <cellStyle name="Normal 85" xfId="3678"/>
    <cellStyle name="Normal 86" xfId="3679"/>
    <cellStyle name="Normal 87" xfId="3457"/>
    <cellStyle name="Normal 88" xfId="3728"/>
    <cellStyle name="Normal 89" xfId="3792"/>
    <cellStyle name="Normal 9" xfId="137"/>
    <cellStyle name="Normal 9 2" xfId="3350"/>
    <cellStyle name="Normal 9 2 2" xfId="3680"/>
    <cellStyle name="Normal 9 3" xfId="3681"/>
    <cellStyle name="Normal 90" xfId="3793"/>
    <cellStyle name="Normal 91" xfId="3794"/>
    <cellStyle name="Normal 92" xfId="3795"/>
    <cellStyle name="Normal 93" xfId="3796"/>
    <cellStyle name="Normal 94" xfId="3797"/>
    <cellStyle name="Normal 95" xfId="3798"/>
    <cellStyle name="Normal 96" xfId="3799"/>
    <cellStyle name="Normal 97" xfId="3800"/>
    <cellStyle name="Normal 98" xfId="3801"/>
    <cellStyle name="Normal 99" xfId="3802"/>
    <cellStyle name="Normal Table" xfId="138"/>
    <cellStyle name="Normal_Apr 11 2018" xfId="3529"/>
    <cellStyle name="Normal_Apr 5 2018" xfId="3504"/>
    <cellStyle name="Normal_April 10, 2017" xfId="3536"/>
    <cellStyle name="Normal_April 11, 2017" xfId="3731"/>
    <cellStyle name="Normal_Aug 18, 2017" xfId="3606"/>
    <cellStyle name="Normal_Aug 22, 2017" xfId="3455"/>
    <cellStyle name="Normal_Aug 24, 2017" xfId="3511"/>
    <cellStyle name="Normal_Dec 02, 2017" xfId="3638"/>
    <cellStyle name="Normal_Dec 06, 2017_1" xfId="3456"/>
    <cellStyle name="Normal_Dec 11, 2017" xfId="3568"/>
    <cellStyle name="Normal_February 03 2017" xfId="3522"/>
    <cellStyle name="Normal_February 21 2017" xfId="3691"/>
    <cellStyle name="Normal_July 24, 2017" xfId="3730"/>
    <cellStyle name="Normal_March 08 2017" xfId="3533"/>
    <cellStyle name="Normal_May 12, 2017" xfId="3526"/>
    <cellStyle name="Normal_May 15, 2017" xfId="3521"/>
    <cellStyle name="Normal_Nov 27, 2017" xfId="3624"/>
    <cellStyle name="Normal_Oct 20, 2017" xfId="3729"/>
    <cellStyle name="Normal_Sept 01, 2017" xfId="3542"/>
    <cellStyle name="Normal_Sheet1" xfId="3840"/>
    <cellStyle name="Normal_Sheet2" xfId="3732"/>
    <cellStyle name="Note" xfId="16" builtinId="10" customBuiltin="1"/>
    <cellStyle name="Note 10" xfId="3351"/>
    <cellStyle name="Note 10 2" xfId="3352"/>
    <cellStyle name="Note 10 3" xfId="3353"/>
    <cellStyle name="Note 10 4" xfId="3354"/>
    <cellStyle name="Note 10 5" xfId="3355"/>
    <cellStyle name="Note 10 6" xfId="3356"/>
    <cellStyle name="Note 11" xfId="3357"/>
    <cellStyle name="Note 11 2" xfId="3358"/>
    <cellStyle name="Note 11 3" xfId="3359"/>
    <cellStyle name="Note 11 4" xfId="3360"/>
    <cellStyle name="Note 11 5" xfId="3361"/>
    <cellStyle name="Note 11 6" xfId="3362"/>
    <cellStyle name="Note 12" xfId="3363"/>
    <cellStyle name="Note 12 2" xfId="3364"/>
    <cellStyle name="Note 12 3" xfId="3365"/>
    <cellStyle name="Note 12 4" xfId="3366"/>
    <cellStyle name="Note 12 5" xfId="3367"/>
    <cellStyle name="Note 12 6" xfId="3368"/>
    <cellStyle name="Note 13" xfId="3369"/>
    <cellStyle name="Note 13 2" xfId="3370"/>
    <cellStyle name="Note 13 3" xfId="3371"/>
    <cellStyle name="Note 13 4" xfId="3372"/>
    <cellStyle name="Note 13 5" xfId="3373"/>
    <cellStyle name="Note 13 6" xfId="3374"/>
    <cellStyle name="Note 14" xfId="3375"/>
    <cellStyle name="Note 14 2" xfId="3376"/>
    <cellStyle name="Note 14 3" xfId="3377"/>
    <cellStyle name="Note 14 4" xfId="3378"/>
    <cellStyle name="Note 14 5" xfId="3379"/>
    <cellStyle name="Note 14 6" xfId="3380"/>
    <cellStyle name="Note 15" xfId="3381"/>
    <cellStyle name="Note 16" xfId="3382"/>
    <cellStyle name="Note 17" xfId="3383"/>
    <cellStyle name="Note 2" xfId="64"/>
    <cellStyle name="Note 2 10" xfId="3384"/>
    <cellStyle name="Note 2 11" xfId="3385"/>
    <cellStyle name="Note 2 12" xfId="3386"/>
    <cellStyle name="Note 2 13" xfId="3387"/>
    <cellStyle name="Note 2 14" xfId="3388"/>
    <cellStyle name="Note 2 15" xfId="3389"/>
    <cellStyle name="Note 2 16" xfId="3390"/>
    <cellStyle name="Note 2 17" xfId="3391"/>
    <cellStyle name="Note 2 18" xfId="3392"/>
    <cellStyle name="Note 2 19" xfId="3682"/>
    <cellStyle name="Note 2 2" xfId="362"/>
    <cellStyle name="Note 2 2 2" xfId="3683"/>
    <cellStyle name="Note 2 3" xfId="3393"/>
    <cellStyle name="Note 2 3 2" xfId="3684"/>
    <cellStyle name="Note 2 4" xfId="3394"/>
    <cellStyle name="Note 2 4 2" xfId="3685"/>
    <cellStyle name="Note 2 5" xfId="3395"/>
    <cellStyle name="Note 2 6" xfId="3396"/>
    <cellStyle name="Note 2 7" xfId="3397"/>
    <cellStyle name="Note 2 8" xfId="3398"/>
    <cellStyle name="Note 2 9" xfId="3399"/>
    <cellStyle name="Note 3" xfId="139"/>
    <cellStyle name="Note 3 2" xfId="3400"/>
    <cellStyle name="Note 3 3" xfId="3401"/>
    <cellStyle name="Note 3 4" xfId="3402"/>
    <cellStyle name="Note 3 5" xfId="3403"/>
    <cellStyle name="Note 3 6" xfId="3404"/>
    <cellStyle name="Note 4" xfId="290"/>
    <cellStyle name="Note 4 2" xfId="363"/>
    <cellStyle name="Note 4 3" xfId="3405"/>
    <cellStyle name="Note 4 4" xfId="3406"/>
    <cellStyle name="Note 4 5" xfId="3407"/>
    <cellStyle name="Note 4 6" xfId="3408"/>
    <cellStyle name="Note 4 7" xfId="3686"/>
    <cellStyle name="Note 5" xfId="364"/>
    <cellStyle name="Note 5 2" xfId="3409"/>
    <cellStyle name="Note 5 3" xfId="3410"/>
    <cellStyle name="Note 5 4" xfId="3411"/>
    <cellStyle name="Note 5 5" xfId="3412"/>
    <cellStyle name="Note 5 6" xfId="3413"/>
    <cellStyle name="Note 5 7" xfId="3687"/>
    <cellStyle name="Note 6" xfId="3414"/>
    <cellStyle name="Note 6 2" xfId="3415"/>
    <cellStyle name="Note 6 3" xfId="3416"/>
    <cellStyle name="Note 6 4" xfId="3417"/>
    <cellStyle name="Note 6 5" xfId="3418"/>
    <cellStyle name="Note 6 6" xfId="3419"/>
    <cellStyle name="Note 6 7" xfId="3688"/>
    <cellStyle name="Note 7" xfId="3420"/>
    <cellStyle name="Note 7 2" xfId="3421"/>
    <cellStyle name="Note 7 3" xfId="3422"/>
    <cellStyle name="Note 7 4" xfId="3423"/>
    <cellStyle name="Note 7 5" xfId="3424"/>
    <cellStyle name="Note 7 6" xfId="3425"/>
    <cellStyle name="Note 8" xfId="3426"/>
    <cellStyle name="Note 8 2" xfId="3427"/>
    <cellStyle name="Note 8 3" xfId="3428"/>
    <cellStyle name="Note 8 4" xfId="3429"/>
    <cellStyle name="Note 8 5" xfId="3430"/>
    <cellStyle name="Note 8 6" xfId="3431"/>
    <cellStyle name="Note 9" xfId="3432"/>
    <cellStyle name="Note 9 2" xfId="3433"/>
    <cellStyle name="Note 9 3" xfId="3434"/>
    <cellStyle name="Note 9 4" xfId="3435"/>
    <cellStyle name="Note 9 5" xfId="3436"/>
    <cellStyle name="Note 9 6" xfId="3437"/>
    <cellStyle name="optionalExposure" xfId="291"/>
    <cellStyle name="Output" xfId="11" builtinId="21" customBuiltin="1"/>
    <cellStyle name="Output 2" xfId="82"/>
    <cellStyle name="Output 2 2" xfId="365"/>
    <cellStyle name="Output 2 2 2" xfId="3689"/>
    <cellStyle name="Output 3" xfId="292"/>
    <cellStyle name="Percent [2]" xfId="141"/>
    <cellStyle name="Percent [2] 2" xfId="3692"/>
    <cellStyle name="Percent 10" xfId="189"/>
    <cellStyle name="Percent 11" xfId="89"/>
    <cellStyle name="Percent 12" xfId="191"/>
    <cellStyle name="Percent 13" xfId="3693"/>
    <cellStyle name="Percent 13 2" xfId="3694"/>
    <cellStyle name="Percent 14" xfId="3695"/>
    <cellStyle name="Percent 15" xfId="3696"/>
    <cellStyle name="Percent 16" xfId="3697"/>
    <cellStyle name="Percent 16 2" xfId="3698"/>
    <cellStyle name="Percent 17" xfId="3699"/>
    <cellStyle name="Percent 17 2" xfId="3700"/>
    <cellStyle name="Percent 18" xfId="3701"/>
    <cellStyle name="Percent 18 2" xfId="3702"/>
    <cellStyle name="Percent 19" xfId="3703"/>
    <cellStyle name="Percent 19 2" xfId="3704"/>
    <cellStyle name="Percent 2" xfId="142"/>
    <cellStyle name="Percent 2 2" xfId="3705"/>
    <cellStyle name="Percent 2 2 2" xfId="3706"/>
    <cellStyle name="Percent 2 3" xfId="3707"/>
    <cellStyle name="Percent 20" xfId="3708"/>
    <cellStyle name="Percent 21" xfId="3709"/>
    <cellStyle name="Percent 22" xfId="3710"/>
    <cellStyle name="Percent 23" xfId="3711"/>
    <cellStyle name="Percent 24" xfId="3712"/>
    <cellStyle name="Percent 25" xfId="3713"/>
    <cellStyle name="Percent 26" xfId="3690"/>
    <cellStyle name="Percent 27" xfId="3776"/>
    <cellStyle name="Percent 28" xfId="3766"/>
    <cellStyle name="Percent 29" xfId="3777"/>
    <cellStyle name="Percent 3" xfId="140"/>
    <cellStyle name="Percent 3 2" xfId="3714"/>
    <cellStyle name="Percent 30" xfId="3765"/>
    <cellStyle name="Percent 31" xfId="3778"/>
    <cellStyle name="Percent 32" xfId="3764"/>
    <cellStyle name="Percent 33" xfId="3779"/>
    <cellStyle name="Percent 34" xfId="3763"/>
    <cellStyle name="Percent 35" xfId="3780"/>
    <cellStyle name="Percent 36" xfId="3762"/>
    <cellStyle name="Percent 37" xfId="3781"/>
    <cellStyle name="Percent 38" xfId="3761"/>
    <cellStyle name="Percent 39" xfId="3782"/>
    <cellStyle name="Percent 4" xfId="186"/>
    <cellStyle name="Percent 4 2" xfId="3715"/>
    <cellStyle name="Percent 4 3" xfId="3716"/>
    <cellStyle name="Percent 40" xfId="3760"/>
    <cellStyle name="Percent 41" xfId="3783"/>
    <cellStyle name="Percent 42" xfId="3759"/>
    <cellStyle name="Percent 43" xfId="3784"/>
    <cellStyle name="Percent 44" xfId="3758"/>
    <cellStyle name="Percent 45" xfId="3785"/>
    <cellStyle name="Percent 46" xfId="3757"/>
    <cellStyle name="Percent 47" xfId="3786"/>
    <cellStyle name="Percent 48" xfId="3756"/>
    <cellStyle name="Percent 49" xfId="3787"/>
    <cellStyle name="Percent 5" xfId="90"/>
    <cellStyle name="Percent 5 2" xfId="3717"/>
    <cellStyle name="Percent 5 3" xfId="3718"/>
    <cellStyle name="Percent 50" xfId="3755"/>
    <cellStyle name="Percent 51" xfId="3788"/>
    <cellStyle name="Percent 52" xfId="3754"/>
    <cellStyle name="Percent 53" xfId="3775"/>
    <cellStyle name="Percent 54" xfId="3753"/>
    <cellStyle name="Percent 55" xfId="3789"/>
    <cellStyle name="Percent 56" xfId="3752"/>
    <cellStyle name="Percent 57" xfId="3790"/>
    <cellStyle name="Percent 58" xfId="3751"/>
    <cellStyle name="Percent 59" xfId="3791"/>
    <cellStyle name="Percent 6" xfId="187"/>
    <cellStyle name="Percent 60" xfId="3750"/>
    <cellStyle name="Percent 61" xfId="3767"/>
    <cellStyle name="Percent 62" xfId="3749"/>
    <cellStyle name="Percent 63" xfId="3768"/>
    <cellStyle name="Percent 64" xfId="3748"/>
    <cellStyle name="Percent 65" xfId="3769"/>
    <cellStyle name="Percent 66" xfId="3747"/>
    <cellStyle name="Percent 67" xfId="3770"/>
    <cellStyle name="Percent 68" xfId="3746"/>
    <cellStyle name="Percent 69" xfId="3771"/>
    <cellStyle name="Percent 7" xfId="93"/>
    <cellStyle name="Percent 70" xfId="3745"/>
    <cellStyle name="Percent 71" xfId="3772"/>
    <cellStyle name="Percent 72" xfId="3744"/>
    <cellStyle name="Percent 73" xfId="3773"/>
    <cellStyle name="Percent 74" xfId="3743"/>
    <cellStyle name="Percent 75" xfId="3774"/>
    <cellStyle name="Percent 8" xfId="188"/>
    <cellStyle name="Percent 9" xfId="94"/>
    <cellStyle name="percentage difference" xfId="143"/>
    <cellStyle name="percentage difference 2" xfId="3719"/>
    <cellStyle name="percentage difference one decimal" xfId="144"/>
    <cellStyle name="percentage difference zero decimal" xfId="145"/>
    <cellStyle name="Presentation" xfId="146"/>
    <cellStyle name="Publication" xfId="147"/>
    <cellStyle name="Red Text" xfId="148"/>
    <cellStyle name="Reset  - Style7" xfId="149"/>
    <cellStyle name="showExposure" xfId="293"/>
    <cellStyle name="showPercentage" xfId="294"/>
    <cellStyle name="Style1" xfId="3720"/>
    <cellStyle name="Subtitulo de Tabla" xfId="150"/>
    <cellStyle name="Table  - Style6" xfId="151"/>
    <cellStyle name="Table  - Style6 2" xfId="3721"/>
    <cellStyle name="Table 2.8 fig" xfId="3722"/>
    <cellStyle name="TemplateCollectionStyle" xfId="366"/>
    <cellStyle name="TemplateCollectionStyle 2" xfId="367"/>
    <cellStyle name="Text" xfId="3723"/>
    <cellStyle name="Title" xfId="2" builtinId="15" customBuiltin="1"/>
    <cellStyle name="Title  - Style1" xfId="152"/>
    <cellStyle name="Title 10" xfId="97"/>
    <cellStyle name="Title 11" xfId="195"/>
    <cellStyle name="Title 12" xfId="224"/>
    <cellStyle name="Title 13" xfId="226"/>
    <cellStyle name="Title 14" xfId="295"/>
    <cellStyle name="Title 15" xfId="303"/>
    <cellStyle name="Title 16" xfId="300"/>
    <cellStyle name="Title 17" xfId="3443"/>
    <cellStyle name="Title 18" xfId="3439"/>
    <cellStyle name="Title 2" xfId="83"/>
    <cellStyle name="Title 3" xfId="190"/>
    <cellStyle name="Title 4" xfId="96"/>
    <cellStyle name="Title 5" xfId="192"/>
    <cellStyle name="Title 6" xfId="98"/>
    <cellStyle name="Title 7" xfId="193"/>
    <cellStyle name="Title 8" xfId="99"/>
    <cellStyle name="Title 9" xfId="194"/>
    <cellStyle name="Titulo de Tabla" xfId="153"/>
    <cellStyle name="TopGrey" xfId="154"/>
    <cellStyle name="Total" xfId="18" builtinId="25" customBuiltin="1"/>
    <cellStyle name="Total 2" xfId="84"/>
    <cellStyle name="Total 2 2" xfId="369"/>
    <cellStyle name="Total 2 2 2" xfId="3724"/>
    <cellStyle name="Total 2 3" xfId="3725"/>
    <cellStyle name="Total 3" xfId="296"/>
    <cellStyle name="Total 3 2" xfId="3726"/>
    <cellStyle name="TotCol - Style5" xfId="155"/>
    <cellStyle name="TotRow - Style4" xfId="156"/>
    <cellStyle name="TotRow - Style4 2" xfId="3727"/>
    <cellStyle name="upper case" xfId="157"/>
    <cellStyle name="Warning Text" xfId="15" builtinId="11" customBuiltin="1"/>
    <cellStyle name="Warning Text 2" xfId="85"/>
    <cellStyle name="Warning Text 2 2" xfId="370"/>
    <cellStyle name="Warning Text 3" xfId="297"/>
    <cellStyle name="WebAnchor1" xfId="159"/>
    <cellStyle name="WebAnchor2" xfId="160"/>
    <cellStyle name="WebAnchor3" xfId="161"/>
    <cellStyle name="WebAnchor4" xfId="162"/>
    <cellStyle name="WebAnchor5" xfId="163"/>
    <cellStyle name="WebAnchor6" xfId="164"/>
    <cellStyle name="WebAnchor7" xfId="165"/>
    <cellStyle name="Webexclude" xfId="166"/>
    <cellStyle name="WebFN" xfId="167"/>
    <cellStyle name="WebFN1" xfId="168"/>
    <cellStyle name="WebFN2" xfId="169"/>
    <cellStyle name="WebFN3" xfId="170"/>
    <cellStyle name="WebFN4" xfId="171"/>
    <cellStyle name="WebHR" xfId="172"/>
    <cellStyle name="WebIndent1" xfId="173"/>
    <cellStyle name="WebIndent1wFN3" xfId="174"/>
    <cellStyle name="WebIndent2" xfId="175"/>
    <cellStyle name="WebNoBR" xfId="176"/>
    <cellStyle name="ДАТА" xfId="3733"/>
    <cellStyle name="ДЕНЕЖНЫЙ_BOPENGC" xfId="3734"/>
    <cellStyle name="ЗАГОЛОВОК1" xfId="3735"/>
    <cellStyle name="ЗАГОЛОВОК2" xfId="3736"/>
    <cellStyle name="ИТОГОВЫЙ" xfId="3737"/>
    <cellStyle name="Обычный_BOPENGC" xfId="3738"/>
    <cellStyle name="ПРОЦЕНТНЫЙ_BOPENGC" xfId="3739"/>
    <cellStyle name="ТЕКСТ" xfId="3740"/>
    <cellStyle name="ФИКСИРОВАННЫЙ" xfId="3741"/>
    <cellStyle name="ФИНАНСОВЫЙ_BOPENGC" xfId="37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ARKET%20VALUE%20UPDAT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c/AppData/Local/Temp/notesB7DC94/Reconciliation%20of%20Arrea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APRIL"/>
      <sheetName val="MAY"/>
      <sheetName val="JUNE"/>
    </sheetNames>
    <sheetDataSet>
      <sheetData sheetId="0" refreshError="1"/>
      <sheetData sheetId="1" refreshError="1"/>
      <sheetData sheetId="2" refreshError="1"/>
      <sheetData sheetId="3" refreshError="1"/>
      <sheetData sheetId="4" refreshError="1">
        <row r="5">
          <cell r="D5">
            <v>0</v>
          </cell>
          <cell r="E5">
            <v>0</v>
          </cell>
          <cell r="M5">
            <v>18169175</v>
          </cell>
          <cell r="N5">
            <v>18137906.510000005</v>
          </cell>
        </row>
        <row r="6">
          <cell r="D6">
            <v>8536500</v>
          </cell>
          <cell r="E6">
            <v>8567995.0299999993</v>
          </cell>
          <cell r="M6">
            <v>133010520</v>
          </cell>
          <cell r="N6">
            <v>132327924.98000002</v>
          </cell>
        </row>
        <row r="7">
          <cell r="D7">
            <v>0</v>
          </cell>
          <cell r="E7">
            <v>0</v>
          </cell>
          <cell r="M7">
            <v>10001345</v>
          </cell>
          <cell r="N7">
            <v>9977633.8099999987</v>
          </cell>
        </row>
        <row r="8">
          <cell r="D8">
            <v>0</v>
          </cell>
          <cell r="E8">
            <v>0</v>
          </cell>
          <cell r="M8">
            <v>4854200</v>
          </cell>
          <cell r="N8">
            <v>4849750</v>
          </cell>
        </row>
        <row r="9">
          <cell r="D9">
            <v>0</v>
          </cell>
          <cell r="E9">
            <v>0</v>
          </cell>
          <cell r="M9">
            <v>5977030</v>
          </cell>
          <cell r="N9">
            <v>5949227.5899999999</v>
          </cell>
        </row>
        <row r="10">
          <cell r="D10">
            <v>0</v>
          </cell>
          <cell r="E10">
            <v>0</v>
          </cell>
          <cell r="M10">
            <v>7581650</v>
          </cell>
          <cell r="N10">
            <v>7562738.8000000007</v>
          </cell>
        </row>
        <row r="11">
          <cell r="D11">
            <v>0</v>
          </cell>
          <cell r="E11">
            <v>0</v>
          </cell>
          <cell r="M11">
            <v>9142365</v>
          </cell>
          <cell r="N11">
            <v>9116024.9200000018</v>
          </cell>
        </row>
        <row r="12">
          <cell r="D12">
            <v>0</v>
          </cell>
          <cell r="E12">
            <v>0</v>
          </cell>
          <cell r="M12">
            <v>19343760</v>
          </cell>
          <cell r="N12">
            <v>19318112.000000004</v>
          </cell>
        </row>
        <row r="13">
          <cell r="D13">
            <v>2318500</v>
          </cell>
          <cell r="E13">
            <v>2407113.06</v>
          </cell>
          <cell r="M13">
            <v>100348645</v>
          </cell>
          <cell r="N13">
            <v>99813155.290000007</v>
          </cell>
        </row>
        <row r="14">
          <cell r="D14">
            <v>0</v>
          </cell>
          <cell r="E14">
            <v>0</v>
          </cell>
          <cell r="M14">
            <v>5871180</v>
          </cell>
          <cell r="N14">
            <v>5855203.4399999985</v>
          </cell>
        </row>
        <row r="15">
          <cell r="D15">
            <v>0</v>
          </cell>
          <cell r="E15">
            <v>0</v>
          </cell>
          <cell r="M15">
            <v>16899515</v>
          </cell>
          <cell r="N15">
            <v>16838165.979999997</v>
          </cell>
        </row>
        <row r="16">
          <cell r="D16">
            <v>0</v>
          </cell>
          <cell r="E16">
            <v>0</v>
          </cell>
          <cell r="M16">
            <v>13320390</v>
          </cell>
          <cell r="N16">
            <v>13261788.010000002</v>
          </cell>
        </row>
        <row r="17">
          <cell r="D17">
            <v>0</v>
          </cell>
          <cell r="E17">
            <v>0</v>
          </cell>
          <cell r="M17">
            <v>9179850</v>
          </cell>
          <cell r="N17">
            <v>9169279.5600000005</v>
          </cell>
        </row>
        <row r="18">
          <cell r="D18">
            <v>0</v>
          </cell>
          <cell r="E18">
            <v>0</v>
          </cell>
          <cell r="M18">
            <v>5440635</v>
          </cell>
          <cell r="N18">
            <v>5414156.2199999997</v>
          </cell>
        </row>
        <row r="19">
          <cell r="D19">
            <v>0</v>
          </cell>
          <cell r="E19">
            <v>0</v>
          </cell>
          <cell r="M19">
            <v>10328040</v>
          </cell>
          <cell r="N19">
            <v>10282652.930000002</v>
          </cell>
        </row>
        <row r="20">
          <cell r="D20">
            <v>0</v>
          </cell>
          <cell r="E20">
            <v>0</v>
          </cell>
          <cell r="M20">
            <v>13507300</v>
          </cell>
          <cell r="N20">
            <v>13461353.760000002</v>
          </cell>
        </row>
        <row r="21">
          <cell r="D21">
            <v>0</v>
          </cell>
          <cell r="E21">
            <v>0</v>
          </cell>
          <cell r="M21">
            <v>5746360</v>
          </cell>
          <cell r="N21">
            <v>5723495.9000000004</v>
          </cell>
        </row>
        <row r="22">
          <cell r="D22">
            <v>0</v>
          </cell>
          <cell r="E22">
            <v>0</v>
          </cell>
          <cell r="M22">
            <v>5890780</v>
          </cell>
          <cell r="N22">
            <v>5865815.3099999996</v>
          </cell>
        </row>
        <row r="23">
          <cell r="D23">
            <v>0</v>
          </cell>
          <cell r="E23">
            <v>0</v>
          </cell>
          <cell r="M23">
            <v>13469915</v>
          </cell>
          <cell r="N23">
            <v>13376306.200000003</v>
          </cell>
        </row>
        <row r="24">
          <cell r="D24">
            <v>0</v>
          </cell>
          <cell r="E24">
            <v>0</v>
          </cell>
          <cell r="M24">
            <v>3786430</v>
          </cell>
          <cell r="N24">
            <v>3786430</v>
          </cell>
        </row>
        <row r="25">
          <cell r="D25">
            <v>0</v>
          </cell>
          <cell r="E25">
            <v>0</v>
          </cell>
          <cell r="M25">
            <v>2738350</v>
          </cell>
          <cell r="N25">
            <v>2726120.8600000003</v>
          </cell>
        </row>
        <row r="26">
          <cell r="D26">
            <v>5000000</v>
          </cell>
          <cell r="E26">
            <v>4992300</v>
          </cell>
          <cell r="M26">
            <v>50598650</v>
          </cell>
          <cell r="N26">
            <v>50270219.470000021</v>
          </cell>
        </row>
        <row r="27">
          <cell r="D27">
            <v>0</v>
          </cell>
          <cell r="E27">
            <v>0</v>
          </cell>
          <cell r="M27">
            <v>4776330</v>
          </cell>
          <cell r="N27">
            <v>4761262.4400000004</v>
          </cell>
        </row>
        <row r="28">
          <cell r="D28">
            <v>0</v>
          </cell>
          <cell r="E28">
            <v>0</v>
          </cell>
          <cell r="M28">
            <v>5792440</v>
          </cell>
          <cell r="N28">
            <v>5782381.4399999995</v>
          </cell>
        </row>
        <row r="29">
          <cell r="D29">
            <v>0</v>
          </cell>
          <cell r="E29">
            <v>0</v>
          </cell>
          <cell r="M29">
            <v>3530450</v>
          </cell>
          <cell r="N29">
            <v>3521416.5</v>
          </cell>
        </row>
        <row r="30">
          <cell r="D30">
            <v>0</v>
          </cell>
          <cell r="E30">
            <v>0</v>
          </cell>
          <cell r="M30">
            <v>1530000</v>
          </cell>
          <cell r="N30">
            <v>1520922</v>
          </cell>
        </row>
        <row r="31">
          <cell r="D31">
            <v>0</v>
          </cell>
          <cell r="E31">
            <v>0</v>
          </cell>
          <cell r="M31">
            <v>5177470</v>
          </cell>
          <cell r="N31">
            <v>5144424.4300000006</v>
          </cell>
        </row>
        <row r="32">
          <cell r="D32">
            <v>0</v>
          </cell>
          <cell r="E32">
            <v>0</v>
          </cell>
          <cell r="M32">
            <v>2183750</v>
          </cell>
          <cell r="N32">
            <v>2175040.7800000003</v>
          </cell>
        </row>
        <row r="33">
          <cell r="D33">
            <v>0</v>
          </cell>
          <cell r="E33">
            <v>0</v>
          </cell>
          <cell r="M33">
            <v>2727405</v>
          </cell>
          <cell r="N33">
            <v>2718467</v>
          </cell>
        </row>
        <row r="34">
          <cell r="D34">
            <v>0</v>
          </cell>
          <cell r="E34">
            <v>0</v>
          </cell>
          <cell r="M34">
            <v>2731210</v>
          </cell>
          <cell r="N34">
            <v>2716819.3000000007</v>
          </cell>
        </row>
        <row r="35">
          <cell r="D35">
            <v>0</v>
          </cell>
          <cell r="E35">
            <v>0</v>
          </cell>
          <cell r="M35">
            <v>3017100</v>
          </cell>
          <cell r="N35">
            <v>3006320.2800000003</v>
          </cell>
        </row>
        <row r="36">
          <cell r="D36">
            <v>0</v>
          </cell>
          <cell r="E36">
            <v>0</v>
          </cell>
          <cell r="M36">
            <v>2182415</v>
          </cell>
          <cell r="N36">
            <v>2173855.8400000008</v>
          </cell>
        </row>
        <row r="37">
          <cell r="D37">
            <v>0</v>
          </cell>
          <cell r="E37">
            <v>0</v>
          </cell>
          <cell r="M37">
            <v>5359170</v>
          </cell>
          <cell r="N37">
            <v>5345676.4400000004</v>
          </cell>
        </row>
        <row r="38">
          <cell r="D38">
            <v>0</v>
          </cell>
          <cell r="E38">
            <v>0</v>
          </cell>
          <cell r="M38">
            <v>2184300</v>
          </cell>
          <cell r="N38">
            <v>2175730.1800000002</v>
          </cell>
        </row>
        <row r="39">
          <cell r="D39">
            <v>0</v>
          </cell>
          <cell r="E39">
            <v>0</v>
          </cell>
          <cell r="M39">
            <v>2167960</v>
          </cell>
          <cell r="N39">
            <v>2159069.38</v>
          </cell>
        </row>
        <row r="40">
          <cell r="D40">
            <v>0</v>
          </cell>
          <cell r="E40">
            <v>0</v>
          </cell>
          <cell r="M40">
            <v>1626200</v>
          </cell>
          <cell r="N40">
            <v>1618306.73</v>
          </cell>
        </row>
        <row r="41">
          <cell r="D41">
            <v>0</v>
          </cell>
          <cell r="E41">
            <v>0</v>
          </cell>
          <cell r="M41">
            <v>2314785</v>
          </cell>
          <cell r="N41">
            <v>2314785</v>
          </cell>
        </row>
        <row r="42">
          <cell r="D42">
            <v>0</v>
          </cell>
          <cell r="E42">
            <v>0</v>
          </cell>
          <cell r="M42">
            <v>1027225</v>
          </cell>
          <cell r="N42">
            <v>1027128.66</v>
          </cell>
        </row>
        <row r="43">
          <cell r="D43">
            <v>0</v>
          </cell>
          <cell r="E43">
            <v>0</v>
          </cell>
          <cell r="M43">
            <v>1695855</v>
          </cell>
          <cell r="N43">
            <v>1695855</v>
          </cell>
        </row>
        <row r="44">
          <cell r="D44">
            <v>0</v>
          </cell>
          <cell r="E44">
            <v>0</v>
          </cell>
          <cell r="M44">
            <v>1131615</v>
          </cell>
          <cell r="N44">
            <v>1131589.5899999999</v>
          </cell>
        </row>
        <row r="45">
          <cell r="D45">
            <v>0</v>
          </cell>
          <cell r="E45">
            <v>0</v>
          </cell>
          <cell r="M45">
            <v>518000</v>
          </cell>
          <cell r="N45">
            <v>517839.8</v>
          </cell>
        </row>
        <row r="46">
          <cell r="D46">
            <v>0</v>
          </cell>
          <cell r="E46">
            <v>0</v>
          </cell>
          <cell r="M46">
            <v>2678950</v>
          </cell>
          <cell r="N46">
            <v>2678950</v>
          </cell>
        </row>
        <row r="47">
          <cell r="D47">
            <v>0</v>
          </cell>
          <cell r="E47">
            <v>0</v>
          </cell>
          <cell r="M47">
            <v>3239035</v>
          </cell>
          <cell r="N47">
            <v>3222143.44</v>
          </cell>
        </row>
        <row r="48">
          <cell r="D48">
            <v>0</v>
          </cell>
          <cell r="E48">
            <v>0</v>
          </cell>
          <cell r="M48">
            <v>1022200</v>
          </cell>
          <cell r="N48">
            <v>1018177.2</v>
          </cell>
        </row>
        <row r="49">
          <cell r="D49">
            <v>0</v>
          </cell>
          <cell r="E49">
            <v>0</v>
          </cell>
          <cell r="M49">
            <v>0</v>
          </cell>
          <cell r="N49">
            <v>0</v>
          </cell>
        </row>
        <row r="50">
          <cell r="D50">
            <v>0</v>
          </cell>
          <cell r="E50">
            <v>0</v>
          </cell>
          <cell r="M50">
            <v>0</v>
          </cell>
          <cell r="N50">
            <v>0</v>
          </cell>
        </row>
        <row r="51">
          <cell r="D51">
            <v>0</v>
          </cell>
          <cell r="E51">
            <v>0</v>
          </cell>
          <cell r="M51">
            <v>23927550</v>
          </cell>
          <cell r="N51">
            <v>23746877.030000001</v>
          </cell>
        </row>
        <row r="52">
          <cell r="D52">
            <v>0</v>
          </cell>
          <cell r="E52">
            <v>0</v>
          </cell>
          <cell r="M52">
            <v>0</v>
          </cell>
          <cell r="N52">
            <v>0</v>
          </cell>
        </row>
        <row r="53">
          <cell r="D53">
            <v>0</v>
          </cell>
          <cell r="E53">
            <v>0</v>
          </cell>
          <cell r="M53">
            <v>0</v>
          </cell>
          <cell r="N53">
            <v>0</v>
          </cell>
        </row>
        <row r="54">
          <cell r="D54">
            <v>0</v>
          </cell>
          <cell r="E54">
            <v>0</v>
          </cell>
          <cell r="M54">
            <v>0</v>
          </cell>
          <cell r="N54">
            <v>0</v>
          </cell>
        </row>
        <row r="55">
          <cell r="D55">
            <v>0</v>
          </cell>
          <cell r="E55">
            <v>0</v>
          </cell>
          <cell r="M55">
            <v>0</v>
          </cell>
          <cell r="N55">
            <v>0</v>
          </cell>
        </row>
        <row r="56">
          <cell r="D56">
            <v>0</v>
          </cell>
          <cell r="E56">
            <v>0</v>
          </cell>
          <cell r="M56">
            <v>0</v>
          </cell>
          <cell r="N56">
            <v>0</v>
          </cell>
        </row>
        <row r="57">
          <cell r="D57">
            <v>0</v>
          </cell>
          <cell r="E57">
            <v>0</v>
          </cell>
          <cell r="M57">
            <v>0</v>
          </cell>
          <cell r="N57">
            <v>0</v>
          </cell>
        </row>
        <row r="58">
          <cell r="D58">
            <v>0</v>
          </cell>
          <cell r="E58">
            <v>0</v>
          </cell>
          <cell r="M58">
            <v>0</v>
          </cell>
          <cell r="N58">
            <v>0</v>
          </cell>
        </row>
        <row r="59">
          <cell r="D59">
            <v>0</v>
          </cell>
          <cell r="E59">
            <v>0</v>
          </cell>
          <cell r="M59">
            <v>0</v>
          </cell>
          <cell r="N59">
            <v>0</v>
          </cell>
        </row>
        <row r="60">
          <cell r="D60">
            <v>0</v>
          </cell>
          <cell r="E60">
            <v>0</v>
          </cell>
          <cell r="M60">
            <v>0</v>
          </cell>
          <cell r="N60">
            <v>0</v>
          </cell>
        </row>
        <row r="61">
          <cell r="D61">
            <v>0</v>
          </cell>
          <cell r="E61">
            <v>0</v>
          </cell>
          <cell r="M61">
            <v>0</v>
          </cell>
          <cell r="N61">
            <v>0</v>
          </cell>
        </row>
        <row r="62">
          <cell r="D62">
            <v>0</v>
          </cell>
          <cell r="E62">
            <v>0</v>
          </cell>
          <cell r="M62">
            <v>0</v>
          </cell>
          <cell r="N62">
            <v>0</v>
          </cell>
        </row>
        <row r="63">
          <cell r="D63">
            <v>0</v>
          </cell>
          <cell r="E63">
            <v>0</v>
          </cell>
          <cell r="M63">
            <v>0</v>
          </cell>
          <cell r="N63">
            <v>0</v>
          </cell>
        </row>
        <row r="64">
          <cell r="D64">
            <v>0</v>
          </cell>
          <cell r="E64">
            <v>0</v>
          </cell>
          <cell r="M64">
            <v>0</v>
          </cell>
          <cell r="N64">
            <v>0</v>
          </cell>
        </row>
        <row r="65">
          <cell r="D65">
            <v>0</v>
          </cell>
          <cell r="E65">
            <v>0</v>
          </cell>
          <cell r="M65">
            <v>0</v>
          </cell>
          <cell r="N65">
            <v>0</v>
          </cell>
        </row>
        <row r="66">
          <cell r="D66">
            <v>0</v>
          </cell>
          <cell r="E66">
            <v>0</v>
          </cell>
          <cell r="M66">
            <v>0</v>
          </cell>
          <cell r="N66">
            <v>0</v>
          </cell>
        </row>
        <row r="67">
          <cell r="D67">
            <v>0</v>
          </cell>
          <cell r="E67">
            <v>0</v>
          </cell>
          <cell r="M67">
            <v>0</v>
          </cell>
          <cell r="N67">
            <v>0</v>
          </cell>
        </row>
        <row r="68">
          <cell r="D68">
            <v>0</v>
          </cell>
          <cell r="E68">
            <v>0</v>
          </cell>
          <cell r="M68">
            <v>0</v>
          </cell>
          <cell r="N68">
            <v>0</v>
          </cell>
        </row>
        <row r="69">
          <cell r="D69">
            <v>0</v>
          </cell>
          <cell r="E69">
            <v>0</v>
          </cell>
          <cell r="M69">
            <v>0</v>
          </cell>
          <cell r="N69">
            <v>0</v>
          </cell>
        </row>
        <row r="70">
          <cell r="D70">
            <v>0</v>
          </cell>
          <cell r="E70">
            <v>0</v>
          </cell>
          <cell r="M70">
            <v>0</v>
          </cell>
          <cell r="N70">
            <v>0</v>
          </cell>
        </row>
        <row r="71">
          <cell r="D71">
            <v>0</v>
          </cell>
          <cell r="E71">
            <v>0</v>
          </cell>
          <cell r="M71">
            <v>0</v>
          </cell>
          <cell r="N71">
            <v>0</v>
          </cell>
        </row>
        <row r="72">
          <cell r="D72">
            <v>0</v>
          </cell>
          <cell r="E72">
            <v>0</v>
          </cell>
          <cell r="M72">
            <v>0</v>
          </cell>
          <cell r="N72">
            <v>0</v>
          </cell>
        </row>
        <row r="73">
          <cell r="D73">
            <v>0</v>
          </cell>
          <cell r="E73">
            <v>0</v>
          </cell>
          <cell r="M73">
            <v>0</v>
          </cell>
          <cell r="N73">
            <v>0</v>
          </cell>
        </row>
        <row r="74">
          <cell r="D74">
            <v>0</v>
          </cell>
          <cell r="E74">
            <v>0</v>
          </cell>
          <cell r="M74">
            <v>0</v>
          </cell>
          <cell r="N74">
            <v>0</v>
          </cell>
        </row>
        <row r="75">
          <cell r="D75">
            <v>0</v>
          </cell>
          <cell r="E75">
            <v>0</v>
          </cell>
          <cell r="M75">
            <v>0</v>
          </cell>
          <cell r="N75">
            <v>0</v>
          </cell>
        </row>
        <row r="76">
          <cell r="D76">
            <v>0</v>
          </cell>
          <cell r="E76">
            <v>0</v>
          </cell>
          <cell r="M76">
            <v>0</v>
          </cell>
          <cell r="N76">
            <v>0</v>
          </cell>
        </row>
        <row r="77">
          <cell r="D77">
            <v>0</v>
          </cell>
          <cell r="E77">
            <v>0</v>
          </cell>
          <cell r="M77">
            <v>0</v>
          </cell>
          <cell r="N77">
            <v>0</v>
          </cell>
        </row>
        <row r="78">
          <cell r="D78">
            <v>0</v>
          </cell>
          <cell r="E78">
            <v>0</v>
          </cell>
          <cell r="M78">
            <v>0</v>
          </cell>
          <cell r="N78">
            <v>0</v>
          </cell>
        </row>
        <row r="79">
          <cell r="D79">
            <v>0</v>
          </cell>
          <cell r="E79">
            <v>0</v>
          </cell>
          <cell r="M79">
            <v>0</v>
          </cell>
          <cell r="N79">
            <v>0</v>
          </cell>
        </row>
        <row r="80">
          <cell r="D80">
            <v>0</v>
          </cell>
          <cell r="E80">
            <v>0</v>
          </cell>
          <cell r="M80">
            <v>0</v>
          </cell>
          <cell r="N80">
            <v>0</v>
          </cell>
        </row>
        <row r="81">
          <cell r="D81">
            <v>0</v>
          </cell>
          <cell r="E81">
            <v>0</v>
          </cell>
          <cell r="M81">
            <v>0</v>
          </cell>
          <cell r="N81">
            <v>0</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Government Arrears"/>
      <sheetName val="Summary Tax payables "/>
      <sheetName val="SOE payables "/>
      <sheetName val="CG payables details"/>
      <sheetName val="CG payables summary "/>
      <sheetName val="NIS Receivables "/>
      <sheetName val="SOE Receivables "/>
    </sheetNames>
    <sheetDataSet>
      <sheetData sheetId="0"/>
      <sheetData sheetId="1">
        <row r="12">
          <cell r="D12">
            <v>361.88240351999997</v>
          </cell>
        </row>
      </sheetData>
      <sheetData sheetId="2"/>
      <sheetData sheetId="3"/>
      <sheetData sheetId="4">
        <row r="6">
          <cell r="D6">
            <v>52049200.530000016</v>
          </cell>
        </row>
        <row r="11">
          <cell r="D11">
            <v>25772442.280000001</v>
          </cell>
        </row>
      </sheetData>
      <sheetData sheetId="5">
        <row r="3">
          <cell r="C3">
            <v>175.245036</v>
          </cell>
        </row>
        <row r="4">
          <cell r="D4">
            <v>72.534496000000004</v>
          </cell>
        </row>
        <row r="17">
          <cell r="E17">
            <v>53.851632999999993</v>
          </cell>
        </row>
        <row r="19">
          <cell r="D19">
            <v>66.91516</v>
          </cell>
        </row>
      </sheetData>
      <sheetData sheetId="6">
        <row r="61">
          <cell r="G61">
            <v>536.27576600999998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workbookViewId="0">
      <selection activeCell="I21" sqref="I21"/>
    </sheetView>
  </sheetViews>
  <sheetFormatPr defaultColWidth="8.85546875" defaultRowHeight="12.75"/>
  <cols>
    <col min="1" max="1" width="24" style="1" customWidth="1"/>
    <col min="2" max="11" width="8.85546875" style="1" customWidth="1"/>
    <col min="12" max="14" width="8.85546875" style="1"/>
    <col min="15" max="16" width="12.85546875" style="1" bestFit="1" customWidth="1"/>
    <col min="17" max="25" width="11.42578125" style="1" customWidth="1"/>
    <col min="26" max="16384" width="8.85546875" style="1"/>
  </cols>
  <sheetData>
    <row r="1" spans="1:25">
      <c r="B1" s="5">
        <v>2013</v>
      </c>
      <c r="C1" s="5">
        <v>2014</v>
      </c>
      <c r="D1" s="5">
        <v>2015</v>
      </c>
      <c r="E1" s="5">
        <v>2016</v>
      </c>
      <c r="F1" s="5" t="s">
        <v>15</v>
      </c>
      <c r="G1" s="5" t="s">
        <v>17</v>
      </c>
      <c r="H1" s="5" t="s">
        <v>19</v>
      </c>
      <c r="I1" s="5" t="s">
        <v>20</v>
      </c>
      <c r="J1" s="5" t="s">
        <v>16</v>
      </c>
      <c r="K1" s="5" t="s">
        <v>18</v>
      </c>
    </row>
    <row r="2" spans="1:25">
      <c r="A2" s="6"/>
      <c r="B2" s="596" t="s">
        <v>22</v>
      </c>
      <c r="C2" s="596"/>
      <c r="D2" s="596"/>
      <c r="E2" s="596"/>
      <c r="F2" s="596"/>
      <c r="G2" s="596"/>
      <c r="H2" s="596"/>
      <c r="I2" s="596"/>
      <c r="J2" s="596"/>
      <c r="K2" s="596"/>
    </row>
    <row r="3" spans="1:25">
      <c r="A3" s="1" t="s">
        <v>0</v>
      </c>
      <c r="B3" s="4">
        <v>12479.9</v>
      </c>
      <c r="C3" s="4">
        <v>12311.6</v>
      </c>
      <c r="D3" s="4">
        <v>12828.9</v>
      </c>
      <c r="E3" s="4">
        <v>13301.6</v>
      </c>
      <c r="F3" s="4">
        <v>13185.1</v>
      </c>
      <c r="G3" s="4">
        <v>13284.9</v>
      </c>
      <c r="H3" s="4">
        <v>13405.5</v>
      </c>
      <c r="I3" s="4">
        <v>13478.8</v>
      </c>
      <c r="J3" s="4">
        <v>13561.7</v>
      </c>
      <c r="K3" s="4">
        <v>13917</v>
      </c>
    </row>
    <row r="4" spans="1:25">
      <c r="A4" s="1" t="s">
        <v>3</v>
      </c>
      <c r="B4" s="4"/>
      <c r="C4" s="4"/>
      <c r="D4" s="4"/>
      <c r="E4" s="4"/>
      <c r="F4" s="4"/>
      <c r="G4" s="4"/>
      <c r="H4" s="4"/>
      <c r="I4" s="4"/>
      <c r="J4" s="4"/>
      <c r="K4" s="4"/>
      <c r="Q4" s="3"/>
      <c r="R4" s="3"/>
      <c r="S4" s="3"/>
      <c r="T4" s="3"/>
      <c r="U4" s="3"/>
      <c r="V4" s="3"/>
      <c r="W4" s="3"/>
      <c r="X4" s="3"/>
      <c r="Y4" s="3"/>
    </row>
    <row r="5" spans="1:25">
      <c r="A5" s="1" t="s">
        <v>6</v>
      </c>
      <c r="B5" s="4">
        <v>5990.8</v>
      </c>
      <c r="C5" s="4">
        <v>5968.3</v>
      </c>
      <c r="D5" s="4">
        <v>5919.2</v>
      </c>
      <c r="E5" s="4">
        <v>5888.1</v>
      </c>
      <c r="F5" s="4">
        <v>5865.8</v>
      </c>
      <c r="G5" s="4">
        <v>5867</v>
      </c>
      <c r="H5" s="4">
        <v>5990.1</v>
      </c>
      <c r="I5" s="4">
        <v>6004.6</v>
      </c>
      <c r="J5" s="4">
        <v>6066.2</v>
      </c>
      <c r="K5" s="4">
        <v>6218.4</v>
      </c>
      <c r="N5" s="2"/>
      <c r="O5" s="2"/>
      <c r="P5" s="2"/>
      <c r="Q5" s="2"/>
      <c r="R5" s="2"/>
      <c r="S5" s="2"/>
      <c r="T5" s="2"/>
      <c r="U5" s="2"/>
      <c r="V5" s="2"/>
      <c r="W5" s="2"/>
      <c r="X5" s="2"/>
    </row>
    <row r="6" spans="1:25">
      <c r="A6" s="1" t="s">
        <v>5</v>
      </c>
      <c r="B6" s="4">
        <v>186.1</v>
      </c>
      <c r="C6" s="4">
        <v>238.1</v>
      </c>
      <c r="D6" s="4">
        <v>212.7</v>
      </c>
      <c r="E6" s="4">
        <v>195.6</v>
      </c>
      <c r="F6" s="4">
        <v>188.2</v>
      </c>
      <c r="G6" s="4">
        <v>174.5</v>
      </c>
      <c r="H6" s="4">
        <v>173.3</v>
      </c>
      <c r="I6" s="4">
        <v>161.5</v>
      </c>
      <c r="J6" s="4">
        <v>160.19999999999999</v>
      </c>
      <c r="K6" s="4">
        <v>156.4</v>
      </c>
      <c r="N6" s="2"/>
      <c r="O6" s="2"/>
    </row>
    <row r="7" spans="1:25">
      <c r="A7" s="1" t="s">
        <v>8</v>
      </c>
      <c r="B7" s="4">
        <v>328.9</v>
      </c>
      <c r="C7" s="4">
        <v>388.5</v>
      </c>
      <c r="D7" s="4">
        <v>309.39999999999998</v>
      </c>
      <c r="E7" s="4">
        <v>272</v>
      </c>
      <c r="F7" s="4">
        <v>256.2</v>
      </c>
      <c r="G7" s="4">
        <v>244.9</v>
      </c>
      <c r="H7" s="4">
        <v>242.7</v>
      </c>
      <c r="I7" s="4">
        <v>238.7</v>
      </c>
      <c r="J7" s="4">
        <v>225.5</v>
      </c>
      <c r="K7" s="4">
        <v>219.2</v>
      </c>
      <c r="N7" s="2"/>
      <c r="O7" s="2"/>
    </row>
    <row r="8" spans="1:25">
      <c r="A8" s="1" t="s">
        <v>4</v>
      </c>
      <c r="B8" s="4">
        <v>5475.8</v>
      </c>
      <c r="C8" s="4">
        <v>5341.7</v>
      </c>
      <c r="D8" s="4">
        <v>5397</v>
      </c>
      <c r="E8" s="4">
        <v>5420.5</v>
      </c>
      <c r="F8" s="4">
        <v>5421.4</v>
      </c>
      <c r="G8" s="4">
        <v>5447.5</v>
      </c>
      <c r="H8" s="4">
        <v>5574.2</v>
      </c>
      <c r="I8" s="4">
        <v>5604.4</v>
      </c>
      <c r="J8" s="4">
        <v>5680.4</v>
      </c>
      <c r="K8" s="4">
        <v>5842.8</v>
      </c>
      <c r="N8" s="2"/>
      <c r="O8" s="2"/>
    </row>
    <row r="9" spans="1:25">
      <c r="A9" s="1" t="s">
        <v>7</v>
      </c>
      <c r="B9" s="4">
        <v>2162.6</v>
      </c>
      <c r="C9" s="4">
        <v>2043.8</v>
      </c>
      <c r="D9" s="4">
        <v>2139.1</v>
      </c>
      <c r="E9" s="4">
        <v>1963.2</v>
      </c>
      <c r="F9" s="4">
        <v>1771.8</v>
      </c>
      <c r="G9" s="4">
        <v>1956.9</v>
      </c>
      <c r="H9" s="4">
        <v>1990.1</v>
      </c>
      <c r="I9" s="4">
        <v>2070</v>
      </c>
      <c r="J9" s="4">
        <v>2056.1</v>
      </c>
      <c r="K9" s="4">
        <v>2093.5</v>
      </c>
      <c r="N9" s="2"/>
      <c r="O9" s="2"/>
      <c r="Q9" s="2"/>
      <c r="R9" s="2"/>
      <c r="S9" s="2"/>
      <c r="T9" s="2"/>
      <c r="U9" s="2"/>
      <c r="V9" s="2"/>
      <c r="W9" s="2"/>
      <c r="X9" s="2"/>
      <c r="Y9" s="2"/>
    </row>
    <row r="10" spans="1:25">
      <c r="A10" s="1" t="s">
        <v>5</v>
      </c>
      <c r="B10" s="4">
        <v>1852.3</v>
      </c>
      <c r="C10" s="4">
        <v>1868.7</v>
      </c>
      <c r="D10" s="4">
        <v>1975.2</v>
      </c>
      <c r="E10" s="4">
        <v>1821</v>
      </c>
      <c r="F10" s="4">
        <v>1629.4</v>
      </c>
      <c r="G10" s="4">
        <v>1818.4</v>
      </c>
      <c r="H10" s="4">
        <v>1855.1</v>
      </c>
      <c r="I10" s="4">
        <v>1938.3</v>
      </c>
      <c r="J10" s="4">
        <v>1937.9</v>
      </c>
      <c r="K10" s="4">
        <v>1978.6</v>
      </c>
      <c r="N10" s="2"/>
      <c r="O10" s="2"/>
      <c r="Q10" s="2"/>
      <c r="R10" s="2"/>
      <c r="S10" s="2"/>
      <c r="T10" s="2"/>
      <c r="U10" s="2"/>
      <c r="V10" s="2"/>
      <c r="W10" s="2"/>
      <c r="X10" s="2"/>
      <c r="Y10" s="2"/>
    </row>
    <row r="11" spans="1:25">
      <c r="A11" s="1" t="s">
        <v>4</v>
      </c>
      <c r="B11" s="4">
        <v>310.39999999999998</v>
      </c>
      <c r="C11" s="4">
        <v>175.2</v>
      </c>
      <c r="D11" s="4">
        <v>164</v>
      </c>
      <c r="E11" s="4">
        <v>142.1</v>
      </c>
      <c r="F11" s="4">
        <v>142.4</v>
      </c>
      <c r="G11" s="4">
        <v>138.5</v>
      </c>
      <c r="H11" s="4">
        <v>135</v>
      </c>
      <c r="I11" s="4">
        <v>131.69999999999999</v>
      </c>
      <c r="J11" s="4">
        <v>118.2</v>
      </c>
      <c r="K11" s="4">
        <v>114.9</v>
      </c>
      <c r="N11" s="2"/>
      <c r="O11" s="2"/>
      <c r="Q11" s="2"/>
      <c r="R11" s="2"/>
      <c r="S11" s="2"/>
      <c r="T11" s="2"/>
      <c r="U11" s="2"/>
      <c r="V11" s="2"/>
      <c r="W11" s="2"/>
      <c r="X11" s="2"/>
      <c r="Y11" s="2"/>
    </row>
    <row r="12" spans="1:25">
      <c r="B12" s="4"/>
      <c r="C12" s="4"/>
      <c r="D12" s="4"/>
      <c r="E12" s="4"/>
      <c r="F12" s="4"/>
      <c r="G12" s="4"/>
      <c r="H12" s="4"/>
      <c r="I12" s="4"/>
      <c r="J12" s="4"/>
      <c r="K12" s="4"/>
      <c r="N12" s="2"/>
      <c r="O12" s="2"/>
    </row>
    <row r="13" spans="1:25">
      <c r="A13" s="1" t="s">
        <v>21</v>
      </c>
      <c r="B13" s="4">
        <v>8544.2000000000007</v>
      </c>
      <c r="C13" s="4">
        <v>8495.7000000000007</v>
      </c>
      <c r="D13" s="4">
        <v>9034.4</v>
      </c>
      <c r="E13" s="4">
        <v>9445.5</v>
      </c>
      <c r="F13" s="4">
        <v>9340.9</v>
      </c>
      <c r="G13" s="4">
        <v>9424.6</v>
      </c>
      <c r="H13" s="4">
        <v>9479.9</v>
      </c>
      <c r="I13" s="4">
        <v>9388.2999999999993</v>
      </c>
      <c r="J13" s="4">
        <v>9493.6</v>
      </c>
      <c r="K13" s="4">
        <v>9554</v>
      </c>
      <c r="O13" s="2"/>
    </row>
    <row r="14" spans="1:25">
      <c r="A14" s="1" t="s">
        <v>9</v>
      </c>
      <c r="B14" s="4">
        <v>119.3</v>
      </c>
      <c r="C14" s="4">
        <v>98.7</v>
      </c>
      <c r="D14" s="4">
        <v>95.1</v>
      </c>
      <c r="E14" s="4">
        <v>99.4</v>
      </c>
      <c r="F14" s="4">
        <v>95.7</v>
      </c>
      <c r="G14" s="4">
        <v>103.1</v>
      </c>
      <c r="H14" s="4">
        <v>95.8</v>
      </c>
      <c r="I14" s="4">
        <v>96</v>
      </c>
      <c r="J14" s="4">
        <v>118.8</v>
      </c>
      <c r="K14" s="4">
        <v>96.5</v>
      </c>
    </row>
    <row r="15" spans="1:25">
      <c r="A15" s="1" t="s">
        <v>8</v>
      </c>
      <c r="B15" s="4">
        <v>197.8</v>
      </c>
      <c r="C15" s="4">
        <v>198.5</v>
      </c>
      <c r="D15" s="4">
        <v>207.9</v>
      </c>
      <c r="E15" s="4">
        <v>239.8</v>
      </c>
      <c r="F15" s="4">
        <v>195.9</v>
      </c>
      <c r="G15" s="4">
        <v>190.9</v>
      </c>
      <c r="H15" s="4">
        <v>203.3</v>
      </c>
      <c r="I15" s="4">
        <v>189</v>
      </c>
      <c r="J15" s="4">
        <v>199</v>
      </c>
      <c r="K15" s="4">
        <v>221.4</v>
      </c>
    </row>
    <row r="16" spans="1:25">
      <c r="A16" s="1" t="s">
        <v>10</v>
      </c>
      <c r="B16" s="4">
        <v>855.5</v>
      </c>
      <c r="C16" s="4">
        <v>668.1</v>
      </c>
      <c r="D16" s="4">
        <v>906.2</v>
      </c>
      <c r="E16" s="4">
        <v>936.1</v>
      </c>
      <c r="F16" s="4">
        <v>985.8</v>
      </c>
      <c r="G16" s="4">
        <v>1029.3</v>
      </c>
      <c r="H16" s="4">
        <v>1056.7</v>
      </c>
      <c r="I16" s="4">
        <v>1054.4000000000001</v>
      </c>
      <c r="J16" s="4">
        <v>1175.5999999999999</v>
      </c>
      <c r="K16" s="4">
        <v>1088</v>
      </c>
    </row>
    <row r="17" spans="1:11">
      <c r="A17" s="1" t="s">
        <v>11</v>
      </c>
      <c r="B17" s="4">
        <v>1551.8</v>
      </c>
      <c r="C17" s="4">
        <v>1608.8</v>
      </c>
      <c r="D17" s="4">
        <v>1834.4</v>
      </c>
      <c r="E17" s="4">
        <v>2136.8000000000002</v>
      </c>
      <c r="F17" s="4">
        <v>2127.8000000000002</v>
      </c>
      <c r="G17" s="4">
        <v>2196.6</v>
      </c>
      <c r="H17" s="4">
        <v>2204.3000000000002</v>
      </c>
      <c r="I17" s="4">
        <v>2211.1999999999998</v>
      </c>
      <c r="J17" s="4">
        <v>2210.3000000000002</v>
      </c>
      <c r="K17" s="4">
        <v>2231.6999999999998</v>
      </c>
    </row>
    <row r="18" spans="1:11">
      <c r="A18" s="1" t="s">
        <v>12</v>
      </c>
      <c r="B18" s="4">
        <v>4532.6000000000004</v>
      </c>
      <c r="C18" s="4">
        <v>4543.2</v>
      </c>
      <c r="D18" s="4">
        <v>4550.7</v>
      </c>
      <c r="E18" s="4">
        <v>4510.1000000000004</v>
      </c>
      <c r="F18" s="4">
        <v>4426.7</v>
      </c>
      <c r="G18" s="4">
        <v>4391.1000000000004</v>
      </c>
      <c r="H18" s="4">
        <v>4408.1000000000004</v>
      </c>
      <c r="I18" s="4">
        <v>4404.3999999999996</v>
      </c>
      <c r="J18" s="4">
        <v>4387.8999999999996</v>
      </c>
      <c r="K18" s="4">
        <v>4364.5</v>
      </c>
    </row>
    <row r="19" spans="1:11">
      <c r="A19" s="1" t="s">
        <v>13</v>
      </c>
      <c r="B19" s="4">
        <v>918.9</v>
      </c>
      <c r="C19" s="4">
        <v>960.5</v>
      </c>
      <c r="D19" s="4">
        <v>835.1</v>
      </c>
      <c r="E19" s="4">
        <v>866.2</v>
      </c>
      <c r="F19" s="4">
        <v>845.6</v>
      </c>
      <c r="G19" s="4">
        <v>841.3</v>
      </c>
      <c r="H19" s="4">
        <v>849.6</v>
      </c>
      <c r="I19" s="4">
        <v>843.5</v>
      </c>
      <c r="J19" s="4">
        <v>774.3</v>
      </c>
      <c r="K19" s="4">
        <v>840</v>
      </c>
    </row>
    <row r="20" spans="1:11">
      <c r="A20" s="1" t="s">
        <v>14</v>
      </c>
      <c r="B20" s="4">
        <v>368.3</v>
      </c>
      <c r="C20" s="4">
        <v>417.9</v>
      </c>
      <c r="D20" s="4">
        <v>605.1</v>
      </c>
      <c r="E20" s="4">
        <v>657.1</v>
      </c>
      <c r="F20" s="4">
        <v>663.4</v>
      </c>
      <c r="G20" s="4">
        <v>672.2</v>
      </c>
      <c r="H20" s="4">
        <v>662.1</v>
      </c>
      <c r="I20" s="4">
        <v>589.79999999999995</v>
      </c>
      <c r="J20" s="4">
        <v>627.6</v>
      </c>
      <c r="K20" s="4">
        <v>712</v>
      </c>
    </row>
    <row r="21" spans="1:11">
      <c r="B21" s="4"/>
      <c r="C21" s="4"/>
      <c r="D21" s="4"/>
      <c r="E21" s="4"/>
      <c r="F21" s="4"/>
      <c r="G21" s="4"/>
      <c r="H21" s="4"/>
      <c r="I21" s="4"/>
      <c r="J21" s="4"/>
      <c r="K21" s="4"/>
    </row>
    <row r="22" spans="1:11">
      <c r="A22" s="1" t="s">
        <v>1</v>
      </c>
      <c r="B22" s="4">
        <v>315.60000000000002</v>
      </c>
      <c r="C22" s="4">
        <v>328.4</v>
      </c>
      <c r="D22" s="4">
        <v>347.2</v>
      </c>
      <c r="E22" s="4">
        <v>328.3</v>
      </c>
      <c r="F22" s="4">
        <v>335.7</v>
      </c>
      <c r="G22" s="4">
        <v>335.3</v>
      </c>
      <c r="H22" s="4">
        <v>336</v>
      </c>
      <c r="I22" s="4">
        <v>382.2</v>
      </c>
      <c r="J22" s="4">
        <v>373.9</v>
      </c>
      <c r="K22" s="4">
        <v>387.2</v>
      </c>
    </row>
    <row r="23" spans="1:11">
      <c r="A23" s="1" t="s">
        <v>2</v>
      </c>
      <c r="B23" s="4">
        <v>702.1</v>
      </c>
      <c r="C23" s="4">
        <v>688.4</v>
      </c>
      <c r="D23" s="4">
        <v>625.5</v>
      </c>
      <c r="E23" s="4">
        <v>523.70000000000005</v>
      </c>
      <c r="F23" s="4">
        <v>508.5</v>
      </c>
      <c r="G23" s="4">
        <v>515.9</v>
      </c>
      <c r="H23" s="4">
        <v>490.7</v>
      </c>
      <c r="I23" s="4">
        <v>475.2</v>
      </c>
      <c r="J23" s="4">
        <v>487</v>
      </c>
      <c r="K23" s="4">
        <v>573.4</v>
      </c>
    </row>
  </sheetData>
  <mergeCells count="1">
    <mergeCell ref="B2:K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workbookViewId="0">
      <selection activeCell="A62" sqref="A62:XFD71"/>
    </sheetView>
  </sheetViews>
  <sheetFormatPr defaultColWidth="8.85546875" defaultRowHeight="15"/>
  <cols>
    <col min="1" max="1" width="67.42578125" style="50" customWidth="1"/>
    <col min="2" max="2" width="12.140625" style="50" customWidth="1"/>
    <col min="3" max="3" width="16.85546875" style="50" customWidth="1"/>
    <col min="4" max="5" width="16.42578125" style="50" customWidth="1"/>
    <col min="6" max="16384" width="8.85546875" style="50"/>
  </cols>
  <sheetData>
    <row r="1" spans="1:5" ht="20.25">
      <c r="A1" s="537"/>
      <c r="B1" s="600" t="s">
        <v>266</v>
      </c>
      <c r="C1" s="600"/>
      <c r="D1" s="601" t="s">
        <v>267</v>
      </c>
      <c r="E1" s="601"/>
    </row>
    <row r="2" spans="1:5" ht="48.75" customHeight="1">
      <c r="A2" s="24" t="s">
        <v>268</v>
      </c>
      <c r="B2" s="51" t="s">
        <v>269</v>
      </c>
      <c r="C2" s="536" t="s">
        <v>270</v>
      </c>
      <c r="D2" s="536" t="s">
        <v>271</v>
      </c>
      <c r="E2" s="536" t="s">
        <v>270</v>
      </c>
    </row>
    <row r="3" spans="1:5" ht="18.75" hidden="1" customHeight="1">
      <c r="A3" s="535" t="s">
        <v>272</v>
      </c>
      <c r="B3" s="535"/>
      <c r="C3" s="534"/>
      <c r="D3" s="533">
        <f>D4-D19</f>
        <v>122.3</v>
      </c>
      <c r="E3" s="533"/>
    </row>
    <row r="4" spans="1:5" ht="18.75">
      <c r="A4" s="532" t="s">
        <v>273</v>
      </c>
      <c r="B4" s="531">
        <f>SUM(B5:B16)</f>
        <v>109.4</v>
      </c>
      <c r="C4" s="531">
        <f t="shared" ref="C4:C16" si="0">(B4/$C$48)*100</f>
        <v>1.1000000000000001</v>
      </c>
      <c r="D4" s="530">
        <f>SUM(D5:D16)</f>
        <v>314.10000000000002</v>
      </c>
      <c r="E4" s="529">
        <f>SUM(E5:E16)</f>
        <v>2.9</v>
      </c>
    </row>
    <row r="5" spans="1:5" ht="15.75">
      <c r="A5" s="512" t="s">
        <v>274</v>
      </c>
      <c r="B5" s="528">
        <v>-156.4</v>
      </c>
      <c r="C5" s="27">
        <f t="shared" si="0"/>
        <v>-1.5</v>
      </c>
      <c r="D5" s="52">
        <f>-147+-23.1</f>
        <v>-170.1</v>
      </c>
      <c r="E5" s="31">
        <f t="shared" ref="E5:E16" si="1">(D5/$D$48)*100</f>
        <v>-1.6</v>
      </c>
    </row>
    <row r="6" spans="1:5" ht="15.75">
      <c r="A6" s="512" t="s">
        <v>275</v>
      </c>
      <c r="B6" s="528">
        <v>-40.5</v>
      </c>
      <c r="C6" s="27">
        <f t="shared" si="0"/>
        <v>-0.4</v>
      </c>
      <c r="D6" s="52">
        <v>-54</v>
      </c>
      <c r="E6" s="31">
        <f t="shared" si="1"/>
        <v>-0.5</v>
      </c>
    </row>
    <row r="7" spans="1:5" ht="15.75">
      <c r="A7" s="512" t="s">
        <v>276</v>
      </c>
      <c r="B7" s="528">
        <v>49.9</v>
      </c>
      <c r="C7" s="27">
        <f t="shared" si="0"/>
        <v>0.5</v>
      </c>
      <c r="D7" s="512">
        <v>74.8</v>
      </c>
      <c r="E7" s="31">
        <f t="shared" si="1"/>
        <v>0.7</v>
      </c>
    </row>
    <row r="8" spans="1:5" ht="15.75">
      <c r="A8" s="527" t="s">
        <v>277</v>
      </c>
      <c r="B8" s="528">
        <v>0</v>
      </c>
      <c r="C8" s="27">
        <f t="shared" si="0"/>
        <v>0</v>
      </c>
      <c r="D8" s="52">
        <v>19.8</v>
      </c>
      <c r="E8" s="31">
        <f t="shared" si="1"/>
        <v>0.2</v>
      </c>
    </row>
    <row r="9" spans="1:5" ht="15.75">
      <c r="A9" s="527" t="s">
        <v>278</v>
      </c>
      <c r="B9" s="528">
        <v>6.7</v>
      </c>
      <c r="C9" s="27">
        <f t="shared" si="0"/>
        <v>0.1</v>
      </c>
      <c r="D9" s="52">
        <v>10</v>
      </c>
      <c r="E9" s="31">
        <f t="shared" si="1"/>
        <v>0.1</v>
      </c>
    </row>
    <row r="10" spans="1:5" ht="15.75">
      <c r="A10" s="512" t="s">
        <v>279</v>
      </c>
      <c r="B10" s="528">
        <v>44.6</v>
      </c>
      <c r="C10" s="27">
        <f t="shared" si="0"/>
        <v>0.4</v>
      </c>
      <c r="D10" s="52">
        <v>95</v>
      </c>
      <c r="E10" s="31">
        <f t="shared" si="1"/>
        <v>0.9</v>
      </c>
    </row>
    <row r="11" spans="1:5" ht="15.75">
      <c r="A11" s="512" t="s">
        <v>280</v>
      </c>
      <c r="B11" s="528">
        <v>43.3</v>
      </c>
      <c r="C11" s="27">
        <f t="shared" si="0"/>
        <v>0.4</v>
      </c>
      <c r="D11" s="52">
        <v>65</v>
      </c>
      <c r="E11" s="31">
        <f t="shared" si="1"/>
        <v>0.6</v>
      </c>
    </row>
    <row r="12" spans="1:5" ht="15.75">
      <c r="A12" s="512" t="s">
        <v>281</v>
      </c>
      <c r="B12" s="528">
        <v>22.5</v>
      </c>
      <c r="C12" s="27">
        <f t="shared" si="0"/>
        <v>0.2</v>
      </c>
      <c r="D12" s="52">
        <f>25.76+8</f>
        <v>33.799999999999997</v>
      </c>
      <c r="E12" s="31">
        <f t="shared" si="1"/>
        <v>0.3</v>
      </c>
    </row>
    <row r="13" spans="1:5" ht="15.75">
      <c r="A13" s="512" t="s">
        <v>282</v>
      </c>
      <c r="B13" s="528">
        <v>7.8</v>
      </c>
      <c r="C13" s="27">
        <f t="shared" si="0"/>
        <v>0.1</v>
      </c>
      <c r="D13" s="52">
        <v>11.6</v>
      </c>
      <c r="E13" s="31">
        <f t="shared" si="1"/>
        <v>0.1</v>
      </c>
    </row>
    <row r="14" spans="1:5" ht="15.75">
      <c r="A14" s="512" t="s">
        <v>283</v>
      </c>
      <c r="B14" s="528">
        <v>81.5</v>
      </c>
      <c r="C14" s="27">
        <f t="shared" si="0"/>
        <v>0.8</v>
      </c>
      <c r="D14" s="52">
        <v>148.19999999999999</v>
      </c>
      <c r="E14" s="31">
        <f t="shared" si="1"/>
        <v>1.4</v>
      </c>
    </row>
    <row r="15" spans="1:5" ht="15.75">
      <c r="A15" s="512" t="s">
        <v>284</v>
      </c>
      <c r="B15" s="528">
        <v>50</v>
      </c>
      <c r="C15" s="27">
        <f t="shared" si="0"/>
        <v>0.5</v>
      </c>
      <c r="D15" s="52">
        <f>37.5*0+65</f>
        <v>65</v>
      </c>
      <c r="E15" s="31">
        <f t="shared" si="1"/>
        <v>0.6</v>
      </c>
    </row>
    <row r="16" spans="1:5" ht="15.75">
      <c r="A16" s="512" t="s">
        <v>285</v>
      </c>
      <c r="B16" s="528">
        <v>0</v>
      </c>
      <c r="C16" s="27">
        <f t="shared" si="0"/>
        <v>0</v>
      </c>
      <c r="D16" s="52">
        <v>15</v>
      </c>
      <c r="E16" s="31">
        <f t="shared" si="1"/>
        <v>0.1</v>
      </c>
    </row>
    <row r="17" spans="1:11" ht="15.75">
      <c r="A17" s="512"/>
      <c r="B17" s="528"/>
      <c r="C17" s="27"/>
      <c r="D17" s="52"/>
      <c r="E17" s="31"/>
    </row>
    <row r="18" spans="1:11" ht="15.75">
      <c r="A18" s="512"/>
      <c r="B18" s="528"/>
      <c r="C18" s="27"/>
      <c r="D18" s="52"/>
      <c r="E18" s="31"/>
    </row>
    <row r="19" spans="1:11" ht="18.75">
      <c r="A19" s="526" t="s">
        <v>286</v>
      </c>
      <c r="B19" s="525">
        <f>B20+B36</f>
        <v>215.4</v>
      </c>
      <c r="C19" s="524">
        <f>(B19/$C$48)*100</f>
        <v>2.1</v>
      </c>
      <c r="D19" s="523">
        <f>D20+D36</f>
        <v>191.8</v>
      </c>
      <c r="E19" s="522">
        <f>(D19/$D$48)*100</f>
        <v>1.8</v>
      </c>
    </row>
    <row r="20" spans="1:11" ht="22.5" customHeight="1">
      <c r="A20" s="521" t="s">
        <v>226</v>
      </c>
      <c r="B20" s="520">
        <f>SUM(B21:B35)</f>
        <v>130.9</v>
      </c>
      <c r="C20" s="520">
        <f>(B20/$C$48)*100</f>
        <v>1.3</v>
      </c>
      <c r="D20" s="519">
        <f>SUM(D21:D35)</f>
        <v>142.80000000000001</v>
      </c>
      <c r="E20" s="522">
        <f>(D20/$D$48)*100</f>
        <v>1.3</v>
      </c>
      <c r="K20" s="518"/>
    </row>
    <row r="21" spans="1:11" ht="15.75">
      <c r="A21" s="521"/>
      <c r="B21" s="520"/>
      <c r="C21" s="27"/>
      <c r="D21" s="53"/>
      <c r="E21" s="522"/>
      <c r="K21" s="518"/>
    </row>
    <row r="22" spans="1:11" ht="30" customHeight="1">
      <c r="A22" s="527" t="s">
        <v>287</v>
      </c>
      <c r="B22" s="35">
        <v>22</v>
      </c>
      <c r="C22" s="27">
        <f t="shared" ref="C22:C47" si="2">(B22/$C$48)*100</f>
        <v>0.2</v>
      </c>
      <c r="D22" s="52">
        <v>22</v>
      </c>
      <c r="E22" s="31">
        <f t="shared" ref="E22:E47" si="3">(D22/$D$48)*100</f>
        <v>0.2</v>
      </c>
      <c r="K22" s="518"/>
    </row>
    <row r="23" spans="1:11" ht="18" customHeight="1">
      <c r="A23" s="512" t="s">
        <v>288</v>
      </c>
      <c r="B23" s="528">
        <v>10</v>
      </c>
      <c r="C23" s="27">
        <f t="shared" si="2"/>
        <v>0.1</v>
      </c>
      <c r="D23" s="52">
        <v>10</v>
      </c>
      <c r="E23" s="31">
        <f t="shared" si="3"/>
        <v>0.1</v>
      </c>
    </row>
    <row r="24" spans="1:11" ht="18.75" customHeight="1">
      <c r="A24" s="512" t="s">
        <v>289</v>
      </c>
      <c r="B24" s="528">
        <f>61.9*0.35</f>
        <v>21.7</v>
      </c>
      <c r="C24" s="27">
        <f t="shared" si="2"/>
        <v>0.2</v>
      </c>
      <c r="D24" s="512">
        <v>21.7</v>
      </c>
      <c r="E24" s="31">
        <f t="shared" si="3"/>
        <v>0.2</v>
      </c>
      <c r="K24" s="518"/>
    </row>
    <row r="25" spans="1:11" ht="18.75" customHeight="1">
      <c r="A25" s="512" t="s">
        <v>290</v>
      </c>
      <c r="B25" s="528">
        <v>3.8</v>
      </c>
      <c r="C25" s="27">
        <f t="shared" si="2"/>
        <v>0</v>
      </c>
      <c r="D25" s="52">
        <v>5</v>
      </c>
      <c r="E25" s="31">
        <f t="shared" si="3"/>
        <v>0</v>
      </c>
      <c r="K25" s="518"/>
    </row>
    <row r="26" spans="1:11" ht="17.25" customHeight="1">
      <c r="A26" s="54" t="s">
        <v>291</v>
      </c>
      <c r="B26" s="528">
        <v>2</v>
      </c>
      <c r="C26" s="27">
        <f t="shared" si="2"/>
        <v>0</v>
      </c>
      <c r="D26" s="517">
        <v>2</v>
      </c>
      <c r="E26" s="31">
        <f t="shared" si="3"/>
        <v>0</v>
      </c>
    </row>
    <row r="27" spans="1:11" ht="19.5" customHeight="1">
      <c r="A27" s="54" t="s">
        <v>292</v>
      </c>
      <c r="B27" s="528">
        <v>0</v>
      </c>
      <c r="C27" s="27">
        <f t="shared" si="2"/>
        <v>0</v>
      </c>
      <c r="D27" s="517">
        <v>0</v>
      </c>
      <c r="E27" s="31">
        <f t="shared" si="3"/>
        <v>0</v>
      </c>
    </row>
    <row r="28" spans="1:11" ht="19.5" customHeight="1">
      <c r="A28" s="512" t="s">
        <v>293</v>
      </c>
      <c r="B28" s="528">
        <v>3</v>
      </c>
      <c r="C28" s="27">
        <f t="shared" si="2"/>
        <v>0</v>
      </c>
      <c r="D28" s="52">
        <v>6</v>
      </c>
      <c r="E28" s="31">
        <f t="shared" si="3"/>
        <v>0.1</v>
      </c>
      <c r="K28" s="518"/>
    </row>
    <row r="29" spans="1:11" ht="15.75">
      <c r="A29" s="512" t="s">
        <v>294</v>
      </c>
      <c r="B29" s="528">
        <v>0.5</v>
      </c>
      <c r="C29" s="27">
        <f t="shared" si="2"/>
        <v>0</v>
      </c>
      <c r="D29" s="52">
        <v>0.7</v>
      </c>
      <c r="E29" s="31">
        <f t="shared" si="3"/>
        <v>0</v>
      </c>
    </row>
    <row r="30" spans="1:11" ht="15.75">
      <c r="A30" s="54" t="s">
        <v>295</v>
      </c>
      <c r="B30" s="528">
        <v>7</v>
      </c>
      <c r="C30" s="27">
        <f t="shared" si="2"/>
        <v>0.1</v>
      </c>
      <c r="D30" s="517">
        <v>9.3000000000000007</v>
      </c>
      <c r="E30" s="31">
        <f t="shared" si="3"/>
        <v>0.1</v>
      </c>
    </row>
    <row r="31" spans="1:11" ht="15.75">
      <c r="A31" s="512" t="s">
        <v>296</v>
      </c>
      <c r="B31" s="528">
        <v>2.2999999999999998</v>
      </c>
      <c r="C31" s="27">
        <f t="shared" si="2"/>
        <v>0</v>
      </c>
      <c r="D31" s="52">
        <v>3</v>
      </c>
      <c r="E31" s="31">
        <f t="shared" si="3"/>
        <v>0</v>
      </c>
    </row>
    <row r="32" spans="1:11" ht="15.75">
      <c r="A32" s="512" t="s">
        <v>297</v>
      </c>
      <c r="B32" s="528">
        <v>13.4</v>
      </c>
      <c r="C32" s="27">
        <f t="shared" si="2"/>
        <v>0.1</v>
      </c>
      <c r="D32" s="52">
        <v>17.899999999999999</v>
      </c>
      <c r="E32" s="31">
        <f t="shared" si="3"/>
        <v>0.2</v>
      </c>
    </row>
    <row r="33" spans="1:5" ht="15.75">
      <c r="A33" s="512" t="s">
        <v>298</v>
      </c>
      <c r="B33" s="528">
        <v>0</v>
      </c>
      <c r="C33" s="27">
        <f t="shared" si="2"/>
        <v>0</v>
      </c>
      <c r="D33" s="52">
        <v>0</v>
      </c>
      <c r="E33" s="31">
        <f t="shared" si="3"/>
        <v>0</v>
      </c>
    </row>
    <row r="34" spans="1:5" ht="15.75">
      <c r="A34" s="512" t="s">
        <v>299</v>
      </c>
      <c r="B34" s="528">
        <v>5</v>
      </c>
      <c r="C34" s="27">
        <f t="shared" si="2"/>
        <v>0</v>
      </c>
      <c r="D34" s="52">
        <v>5</v>
      </c>
      <c r="E34" s="31">
        <f t="shared" si="3"/>
        <v>0</v>
      </c>
    </row>
    <row r="35" spans="1:5" ht="15.75">
      <c r="A35" s="512" t="s">
        <v>300</v>
      </c>
      <c r="B35" s="528">
        <v>40.200000000000003</v>
      </c>
      <c r="C35" s="27">
        <f t="shared" si="2"/>
        <v>0.4</v>
      </c>
      <c r="D35" s="52">
        <v>40.200000000000003</v>
      </c>
      <c r="E35" s="31">
        <f t="shared" si="3"/>
        <v>0.4</v>
      </c>
    </row>
    <row r="36" spans="1:5" ht="28.5" customHeight="1">
      <c r="A36" s="521" t="s">
        <v>301</v>
      </c>
      <c r="B36" s="520">
        <f>SUM(B37:B47)</f>
        <v>84.5</v>
      </c>
      <c r="C36" s="520">
        <f t="shared" si="2"/>
        <v>0.8</v>
      </c>
      <c r="D36" s="53">
        <f>SUM(D37:D47)</f>
        <v>49</v>
      </c>
      <c r="E36" s="522">
        <f t="shared" si="3"/>
        <v>0.5</v>
      </c>
    </row>
    <row r="37" spans="1:5" ht="15.75">
      <c r="A37" s="512" t="s">
        <v>302</v>
      </c>
      <c r="B37" s="528">
        <v>10</v>
      </c>
      <c r="C37" s="27">
        <f t="shared" si="2"/>
        <v>0.1</v>
      </c>
      <c r="D37" s="52">
        <v>5</v>
      </c>
      <c r="E37" s="31">
        <f t="shared" si="3"/>
        <v>0</v>
      </c>
    </row>
    <row r="38" spans="1:5" ht="15.75">
      <c r="A38" s="512" t="s">
        <v>303</v>
      </c>
      <c r="B38" s="528">
        <v>30</v>
      </c>
      <c r="C38" s="27">
        <f t="shared" si="2"/>
        <v>0.3</v>
      </c>
      <c r="D38" s="52">
        <v>20</v>
      </c>
      <c r="E38" s="31">
        <f t="shared" si="3"/>
        <v>0.2</v>
      </c>
    </row>
    <row r="39" spans="1:5" ht="15.75">
      <c r="A39" s="512" t="s">
        <v>304</v>
      </c>
      <c r="B39" s="528">
        <v>5</v>
      </c>
      <c r="C39" s="27">
        <f t="shared" si="2"/>
        <v>0</v>
      </c>
      <c r="D39" s="52">
        <v>0</v>
      </c>
      <c r="E39" s="31">
        <f t="shared" si="3"/>
        <v>0</v>
      </c>
    </row>
    <row r="40" spans="1:5" ht="15.75">
      <c r="A40" s="512" t="s">
        <v>305</v>
      </c>
      <c r="B40" s="528">
        <v>6</v>
      </c>
      <c r="C40" s="27">
        <f t="shared" si="2"/>
        <v>0.1</v>
      </c>
      <c r="D40" s="52">
        <f>5+10</f>
        <v>15</v>
      </c>
      <c r="E40" s="31">
        <f t="shared" si="3"/>
        <v>0.1</v>
      </c>
    </row>
    <row r="41" spans="1:5" ht="15.75">
      <c r="A41" s="512" t="s">
        <v>306</v>
      </c>
      <c r="B41" s="528">
        <v>0</v>
      </c>
      <c r="C41" s="27">
        <f t="shared" si="2"/>
        <v>0</v>
      </c>
      <c r="D41" s="52">
        <v>0</v>
      </c>
      <c r="E41" s="31">
        <f t="shared" si="3"/>
        <v>0</v>
      </c>
    </row>
    <row r="42" spans="1:5" ht="15.75">
      <c r="A42" s="512" t="s">
        <v>292</v>
      </c>
      <c r="B42" s="528">
        <v>0</v>
      </c>
      <c r="C42" s="27">
        <f t="shared" si="2"/>
        <v>0</v>
      </c>
      <c r="D42" s="52">
        <v>0</v>
      </c>
      <c r="E42" s="31">
        <f t="shared" si="3"/>
        <v>0</v>
      </c>
    </row>
    <row r="43" spans="1:5" ht="15.75">
      <c r="A43" s="512" t="s">
        <v>307</v>
      </c>
      <c r="B43" s="528">
        <v>22</v>
      </c>
      <c r="C43" s="27">
        <f t="shared" si="2"/>
        <v>0.2</v>
      </c>
      <c r="D43" s="52">
        <v>0</v>
      </c>
      <c r="E43" s="31">
        <f t="shared" si="3"/>
        <v>0</v>
      </c>
    </row>
    <row r="44" spans="1:5" ht="15.75">
      <c r="A44" s="512" t="s">
        <v>308</v>
      </c>
      <c r="B44" s="528">
        <v>5</v>
      </c>
      <c r="C44" s="27">
        <f t="shared" si="2"/>
        <v>0</v>
      </c>
      <c r="D44" s="512">
        <v>5</v>
      </c>
      <c r="E44" s="31">
        <f t="shared" si="3"/>
        <v>0</v>
      </c>
    </row>
    <row r="45" spans="1:5" ht="15.75">
      <c r="A45" s="512" t="s">
        <v>309</v>
      </c>
      <c r="B45" s="528">
        <v>2</v>
      </c>
      <c r="C45" s="27">
        <f t="shared" si="2"/>
        <v>0</v>
      </c>
      <c r="D45" s="52">
        <v>2</v>
      </c>
      <c r="E45" s="31">
        <f t="shared" si="3"/>
        <v>0</v>
      </c>
    </row>
    <row r="46" spans="1:5" ht="15.75">
      <c r="A46" s="512" t="s">
        <v>310</v>
      </c>
      <c r="B46" s="528">
        <v>2.5</v>
      </c>
      <c r="C46" s="27">
        <f t="shared" si="2"/>
        <v>0</v>
      </c>
      <c r="D46" s="52">
        <v>0</v>
      </c>
      <c r="E46" s="31">
        <f t="shared" si="3"/>
        <v>0</v>
      </c>
    </row>
    <row r="47" spans="1:5" ht="16.5" thickBot="1">
      <c r="A47" s="516" t="s">
        <v>311</v>
      </c>
      <c r="B47" s="515">
        <v>2</v>
      </c>
      <c r="C47" s="514">
        <f t="shared" si="2"/>
        <v>0</v>
      </c>
      <c r="D47" s="513">
        <v>2</v>
      </c>
      <c r="E47" s="511">
        <f t="shared" si="3"/>
        <v>0</v>
      </c>
    </row>
    <row r="48" spans="1:5">
      <c r="A48" s="510"/>
      <c r="B48" s="510"/>
      <c r="C48" s="50">
        <v>10395.709834670301</v>
      </c>
      <c r="D48" s="50">
        <v>10738.7631938743</v>
      </c>
    </row>
    <row r="61" spans="1:4">
      <c r="A61" s="602"/>
      <c r="B61" s="602"/>
      <c r="C61" s="602"/>
      <c r="D61" s="602"/>
    </row>
  </sheetData>
  <mergeCells count="3">
    <mergeCell ref="B1:C1"/>
    <mergeCell ref="D1:E1"/>
    <mergeCell ref="A61:D61"/>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I32" sqref="I32"/>
    </sheetView>
  </sheetViews>
  <sheetFormatPr defaultColWidth="8.85546875" defaultRowHeight="15"/>
  <cols>
    <col min="1" max="1" width="49.42578125" style="538" customWidth="1"/>
    <col min="2" max="2" width="49.7109375" style="538" customWidth="1"/>
    <col min="3" max="16384" width="8.85546875" style="538"/>
  </cols>
  <sheetData>
    <row r="1" spans="1:2" ht="18.75">
      <c r="A1" s="57" t="s">
        <v>377</v>
      </c>
      <c r="B1" s="57"/>
    </row>
    <row r="2" spans="1:2" ht="18.75">
      <c r="A2" s="36" t="s">
        <v>378</v>
      </c>
      <c r="B2" s="58">
        <f>'[2]Summary Tax payables '!D12</f>
        <v>361.9</v>
      </c>
    </row>
    <row r="3" spans="1:2" ht="18.75">
      <c r="A3" s="36" t="s">
        <v>379</v>
      </c>
      <c r="B3" s="58">
        <f>'[2]CG payables summary '!D6/1000000</f>
        <v>52</v>
      </c>
    </row>
    <row r="4" spans="1:2" ht="18.75">
      <c r="A4" s="36" t="s">
        <v>380</v>
      </c>
      <c r="B4" s="58">
        <f>'[2]SOE Receivables '!G61</f>
        <v>536.29999999999995</v>
      </c>
    </row>
    <row r="5" spans="1:2" ht="19.5" thickBot="1">
      <c r="A5" s="36" t="s">
        <v>381</v>
      </c>
      <c r="B5" s="58">
        <f>'[2]NIS Receivables '!C3+'[2]NIS Receivables '!D4+'[2]NIS Receivables '!E17</f>
        <v>301.60000000000002</v>
      </c>
    </row>
    <row r="6" spans="1:2" ht="19.5" thickBot="1">
      <c r="A6" s="39" t="s">
        <v>382</v>
      </c>
      <c r="B6" s="59">
        <f>SUM(B2:B5)</f>
        <v>1251.8</v>
      </c>
    </row>
    <row r="7" spans="1:2" ht="18.75">
      <c r="A7" s="36"/>
      <c r="B7" s="58"/>
    </row>
    <row r="8" spans="1:2" ht="18.75">
      <c r="A8" s="36" t="s">
        <v>383</v>
      </c>
      <c r="B8" s="58">
        <f>'[2]NIS Receivables '!D19</f>
        <v>66.900000000000006</v>
      </c>
    </row>
    <row r="9" spans="1:2" ht="18.75">
      <c r="A9" s="42" t="s">
        <v>384</v>
      </c>
      <c r="B9" s="60">
        <f>B6-B8</f>
        <v>1184.9000000000001</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O35" sqref="O35"/>
    </sheetView>
  </sheetViews>
  <sheetFormatPr defaultColWidth="8.85546875" defaultRowHeight="15"/>
  <cols>
    <col min="1" max="1" width="42.28515625" style="538" customWidth="1"/>
    <col min="2" max="2" width="18.7109375" style="538" customWidth="1"/>
    <col min="3" max="3" width="19.85546875" style="538" customWidth="1"/>
    <col min="4" max="4" width="12.42578125" style="538" customWidth="1"/>
    <col min="5" max="10" width="12" style="538" customWidth="1"/>
    <col min="11" max="16384" width="8.85546875" style="538"/>
  </cols>
  <sheetData>
    <row r="1" spans="1:10">
      <c r="A1" s="22" t="s">
        <v>385</v>
      </c>
      <c r="B1" s="22"/>
      <c r="C1" s="22"/>
      <c r="D1" s="22"/>
      <c r="E1" s="22"/>
      <c r="F1" s="22"/>
      <c r="G1" s="22"/>
      <c r="H1" s="22"/>
      <c r="I1" s="22"/>
      <c r="J1" s="22"/>
    </row>
    <row r="2" spans="1:10" ht="18.75">
      <c r="A2" s="57" t="s">
        <v>386</v>
      </c>
      <c r="B2" s="22"/>
      <c r="C2" s="22"/>
      <c r="D2" s="22"/>
      <c r="E2" s="22"/>
      <c r="F2" s="22"/>
      <c r="G2" s="22"/>
      <c r="H2" s="22"/>
      <c r="I2" s="22"/>
      <c r="J2" s="22"/>
    </row>
    <row r="3" spans="1:10" ht="18.75">
      <c r="A3" s="57"/>
      <c r="B3" s="22"/>
      <c r="C3" s="22"/>
      <c r="D3" s="22"/>
      <c r="E3" s="22"/>
      <c r="F3" s="22"/>
      <c r="G3" s="22"/>
      <c r="H3" s="22"/>
      <c r="I3" s="22"/>
      <c r="J3" s="22"/>
    </row>
    <row r="4" spans="1:10">
      <c r="A4" s="61" t="s">
        <v>387</v>
      </c>
      <c r="B4" s="22"/>
      <c r="C4" s="22"/>
      <c r="D4" s="22"/>
      <c r="E4" s="22"/>
      <c r="F4" s="22"/>
      <c r="G4" s="22"/>
      <c r="H4" s="22"/>
      <c r="I4" s="22"/>
      <c r="J4" s="22"/>
    </row>
    <row r="5" spans="1:10" ht="18.75">
      <c r="A5" s="196" t="s">
        <v>388</v>
      </c>
      <c r="B5" s="25" t="s">
        <v>389</v>
      </c>
      <c r="C5" s="25"/>
      <c r="D5" s="25"/>
      <c r="E5" s="22"/>
      <c r="F5" s="22"/>
      <c r="G5" s="22"/>
      <c r="H5" s="22"/>
      <c r="I5" s="22"/>
      <c r="J5" s="22"/>
    </row>
    <row r="6" spans="1:10" ht="30">
      <c r="A6" s="22"/>
      <c r="B6" s="62" t="s">
        <v>390</v>
      </c>
      <c r="C6" s="29" t="s">
        <v>391</v>
      </c>
      <c r="D6" s="29" t="s">
        <v>392</v>
      </c>
      <c r="E6" s="22"/>
      <c r="F6" s="22"/>
      <c r="G6" s="22"/>
      <c r="H6" s="22"/>
      <c r="I6" s="22"/>
      <c r="J6" s="22"/>
    </row>
    <row r="7" spans="1:10">
      <c r="A7" s="22" t="s">
        <v>393</v>
      </c>
      <c r="B7" s="63">
        <v>95.7</v>
      </c>
      <c r="C7" s="63"/>
      <c r="D7" s="63">
        <f>B7-C7</f>
        <v>95.7</v>
      </c>
      <c r="E7" s="22"/>
      <c r="F7" s="22"/>
      <c r="G7" s="22"/>
      <c r="H7" s="22"/>
      <c r="I7" s="22"/>
      <c r="J7" s="22"/>
    </row>
    <row r="8" spans="1:10">
      <c r="A8" s="22" t="s">
        <v>394</v>
      </c>
      <c r="B8" s="63">
        <v>116.4</v>
      </c>
      <c r="C8" s="63"/>
      <c r="D8" s="63">
        <f>B8-C8</f>
        <v>116.4</v>
      </c>
      <c r="E8" s="22"/>
      <c r="F8" s="22"/>
      <c r="G8" s="22"/>
      <c r="H8" s="22"/>
      <c r="I8" s="22"/>
      <c r="J8" s="22"/>
    </row>
    <row r="9" spans="1:10">
      <c r="A9" s="22" t="s">
        <v>395</v>
      </c>
      <c r="B9" s="63">
        <v>23.8</v>
      </c>
      <c r="C9" s="63"/>
      <c r="D9" s="63">
        <f>B9-C9</f>
        <v>23.8</v>
      </c>
      <c r="E9" s="22"/>
      <c r="F9" s="22"/>
      <c r="G9" s="22"/>
      <c r="H9" s="22"/>
      <c r="I9" s="22"/>
      <c r="J9" s="22"/>
    </row>
    <row r="10" spans="1:10">
      <c r="A10" s="22" t="s">
        <v>396</v>
      </c>
      <c r="B10" s="63">
        <v>102.3</v>
      </c>
      <c r="C10" s="63">
        <v>2.2000000000000002</v>
      </c>
      <c r="D10" s="63">
        <f>B10-C10</f>
        <v>100.1</v>
      </c>
      <c r="E10" s="22"/>
      <c r="F10" s="22"/>
      <c r="G10" s="22"/>
      <c r="H10" s="22"/>
      <c r="I10" s="22"/>
      <c r="J10" s="22"/>
    </row>
    <row r="11" spans="1:10">
      <c r="A11" s="22" t="s">
        <v>397</v>
      </c>
      <c r="B11" s="63">
        <f>'[2]CG payables summary '!D11/1000000</f>
        <v>25.8</v>
      </c>
      <c r="C11" s="63"/>
      <c r="D11" s="63">
        <f>B11-C11</f>
        <v>25.8</v>
      </c>
      <c r="E11" s="22"/>
      <c r="F11" s="22"/>
      <c r="G11" s="22"/>
      <c r="H11" s="22"/>
      <c r="I11" s="22"/>
      <c r="J11" s="22"/>
    </row>
    <row r="12" spans="1:10">
      <c r="A12" s="33" t="s">
        <v>398</v>
      </c>
      <c r="B12" s="64">
        <f>SUM(B7:B11)</f>
        <v>364</v>
      </c>
      <c r="C12" s="64">
        <f>SUM(C7:C11)</f>
        <v>2.2000000000000002</v>
      </c>
      <c r="D12" s="64">
        <f>SUM(D7:D11)</f>
        <v>361.8</v>
      </c>
      <c r="E12" s="22"/>
      <c r="F12" s="22"/>
      <c r="G12" s="22"/>
      <c r="H12" s="22"/>
      <c r="I12" s="22"/>
      <c r="J12" s="22"/>
    </row>
    <row r="13" spans="1:10">
      <c r="A13" s="22"/>
      <c r="B13" s="22"/>
      <c r="C13" s="22"/>
      <c r="D13" s="22"/>
      <c r="E13" s="22"/>
      <c r="F13" s="22"/>
      <c r="G13" s="22"/>
      <c r="H13" s="22"/>
      <c r="I13" s="22"/>
      <c r="J13" s="22"/>
    </row>
    <row r="14" spans="1:10">
      <c r="A14" s="22"/>
      <c r="B14" s="22"/>
      <c r="C14" s="22"/>
      <c r="D14" s="22"/>
      <c r="E14" s="22"/>
      <c r="F14" s="22"/>
      <c r="G14" s="22"/>
      <c r="H14" s="22"/>
      <c r="I14" s="22"/>
      <c r="J14" s="22"/>
    </row>
    <row r="15" spans="1:10">
      <c r="A15" s="22"/>
      <c r="B15" s="22"/>
      <c r="C15" s="22"/>
      <c r="D15" s="22"/>
      <c r="E15" s="22"/>
      <c r="F15" s="22"/>
      <c r="G15" s="22"/>
      <c r="H15" s="22"/>
      <c r="I15" s="22"/>
      <c r="J15" s="22"/>
    </row>
    <row r="16" spans="1:10">
      <c r="A16" s="22"/>
      <c r="B16" s="22"/>
      <c r="C16" s="22"/>
      <c r="D16" s="22"/>
      <c r="E16" s="22"/>
      <c r="F16" s="22"/>
      <c r="G16" s="22"/>
      <c r="H16" s="22"/>
      <c r="I16" s="22"/>
      <c r="J16" s="22"/>
    </row>
    <row r="17" spans="1:10">
      <c r="A17" s="22"/>
      <c r="B17" s="22"/>
      <c r="C17" s="22"/>
      <c r="D17" s="22"/>
      <c r="E17" s="22"/>
      <c r="F17" s="22"/>
      <c r="G17" s="22"/>
      <c r="H17" s="22"/>
      <c r="I17" s="22"/>
      <c r="J17" s="22"/>
    </row>
    <row r="18" spans="1:10">
      <c r="A18" s="22"/>
      <c r="B18" s="22"/>
      <c r="C18" s="22"/>
      <c r="D18" s="22"/>
      <c r="E18" s="22"/>
      <c r="F18" s="22"/>
      <c r="G18" s="22"/>
      <c r="H18" s="22"/>
      <c r="I18" s="22"/>
      <c r="J18" s="22"/>
    </row>
    <row r="19" spans="1:10">
      <c r="A19" s="22"/>
      <c r="B19" s="22"/>
      <c r="C19" s="22"/>
      <c r="D19" s="22"/>
      <c r="E19" s="22"/>
      <c r="F19" s="22"/>
      <c r="G19" s="22"/>
      <c r="H19" s="22"/>
      <c r="I19" s="22"/>
      <c r="J19" s="22"/>
    </row>
    <row r="20" spans="1:10">
      <c r="A20" s="37"/>
      <c r="B20" s="22"/>
      <c r="C20" s="22"/>
      <c r="D20" s="22"/>
      <c r="E20" s="22"/>
      <c r="F20" s="22"/>
      <c r="G20" s="22"/>
      <c r="H20" s="22"/>
      <c r="I20" s="22"/>
      <c r="J20" s="22"/>
    </row>
    <row r="21" spans="1:10">
      <c r="A21" s="37"/>
      <c r="B21" s="22"/>
      <c r="C21" s="22"/>
      <c r="D21" s="22"/>
      <c r="E21" s="22"/>
      <c r="F21" s="22"/>
      <c r="G21" s="22"/>
      <c r="H21" s="22"/>
      <c r="I21" s="22"/>
      <c r="J21" s="22"/>
    </row>
    <row r="22" spans="1:10">
      <c r="A22" s="22"/>
      <c r="B22" s="22"/>
      <c r="C22" s="22"/>
      <c r="D22" s="22"/>
      <c r="E22" s="22"/>
      <c r="F22" s="22"/>
      <c r="G22" s="22"/>
      <c r="H22" s="22"/>
      <c r="I22" s="22"/>
      <c r="J22" s="22"/>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L10" sqref="L10"/>
    </sheetView>
  </sheetViews>
  <sheetFormatPr defaultColWidth="8.85546875" defaultRowHeight="15"/>
  <cols>
    <col min="1" max="6" width="8.85546875" style="538"/>
    <col min="7" max="7" width="15.42578125" style="538" bestFit="1" customWidth="1"/>
    <col min="8" max="8" width="19.85546875" style="538" customWidth="1"/>
    <col min="9" max="9" width="21" style="538" customWidth="1"/>
    <col min="10" max="10" width="19.28515625" style="538" customWidth="1"/>
    <col min="11" max="11" width="19.140625" style="538" customWidth="1"/>
    <col min="12" max="14" width="20.42578125" style="538" customWidth="1"/>
    <col min="15" max="16384" width="8.85546875" style="538"/>
  </cols>
  <sheetData>
    <row r="1" spans="1:14" ht="18.75">
      <c r="A1" s="65" t="s">
        <v>399</v>
      </c>
      <c r="B1" s="65"/>
      <c r="C1" s="65"/>
      <c r="D1" s="40"/>
      <c r="E1" s="40"/>
      <c r="F1" s="40"/>
      <c r="G1" s="40"/>
      <c r="H1" s="40"/>
      <c r="I1" s="40"/>
      <c r="J1" s="40"/>
      <c r="K1" s="40"/>
      <c r="L1" s="40"/>
      <c r="M1" s="40"/>
      <c r="N1" s="40"/>
    </row>
    <row r="2" spans="1:14" ht="18.75">
      <c r="A2" s="65" t="s">
        <v>400</v>
      </c>
      <c r="B2" s="65"/>
      <c r="C2" s="65"/>
      <c r="D2" s="40"/>
      <c r="E2" s="40"/>
      <c r="F2" s="40"/>
      <c r="G2" s="40"/>
      <c r="H2" s="40"/>
      <c r="I2" s="40"/>
      <c r="J2" s="40"/>
      <c r="K2" s="40"/>
      <c r="L2" s="40"/>
      <c r="M2" s="40"/>
      <c r="N2" s="40"/>
    </row>
    <row r="3" spans="1:14" ht="18.75">
      <c r="A3" s="40"/>
      <c r="B3" s="40"/>
      <c r="C3" s="40"/>
      <c r="D3" s="40"/>
      <c r="E3" s="40"/>
      <c r="F3" s="40"/>
      <c r="G3" s="40"/>
      <c r="H3" s="66" t="s">
        <v>401</v>
      </c>
      <c r="I3" s="66" t="s">
        <v>402</v>
      </c>
      <c r="J3" s="66" t="s">
        <v>403</v>
      </c>
      <c r="K3" s="66" t="s">
        <v>404</v>
      </c>
      <c r="L3" s="66" t="s">
        <v>405</v>
      </c>
      <c r="M3" s="67" t="s">
        <v>406</v>
      </c>
      <c r="N3" s="67" t="s">
        <v>407</v>
      </c>
    </row>
    <row r="4" spans="1:14" ht="18.75">
      <c r="A4" s="65" t="s">
        <v>408</v>
      </c>
      <c r="B4" s="65"/>
      <c r="C4" s="65"/>
      <c r="D4" s="40"/>
      <c r="E4" s="40"/>
      <c r="F4" s="40"/>
      <c r="G4" s="40"/>
      <c r="H4" s="68"/>
      <c r="I4" s="68"/>
      <c r="J4" s="68"/>
      <c r="K4" s="68"/>
      <c r="L4" s="68"/>
      <c r="M4" s="68"/>
      <c r="N4" s="68"/>
    </row>
    <row r="5" spans="1:14" ht="18.75">
      <c r="A5" s="40"/>
      <c r="B5" s="40"/>
      <c r="C5" s="40"/>
      <c r="D5" s="40"/>
      <c r="E5" s="40"/>
      <c r="F5" s="40"/>
      <c r="G5" s="40"/>
      <c r="H5" s="68"/>
      <c r="I5" s="68"/>
      <c r="J5" s="68"/>
      <c r="K5" s="68"/>
      <c r="L5" s="68"/>
      <c r="M5" s="68"/>
      <c r="N5" s="68"/>
    </row>
    <row r="6" spans="1:14" ht="18.75">
      <c r="A6" s="40" t="s">
        <v>356</v>
      </c>
      <c r="B6" s="40"/>
      <c r="C6" s="40"/>
      <c r="D6" s="40"/>
      <c r="E6" s="40"/>
      <c r="F6" s="40"/>
      <c r="G6" s="40"/>
      <c r="H6" s="68">
        <v>59265.120000000003</v>
      </c>
      <c r="I6" s="68">
        <f>H6*2</f>
        <v>118530.24000000001</v>
      </c>
      <c r="J6" s="68">
        <f>H6*3</f>
        <v>177795.36</v>
      </c>
      <c r="K6" s="68">
        <f>H6*4</f>
        <v>237060.48000000001</v>
      </c>
      <c r="L6" s="68">
        <f>2961783.11+59265.12-K6-J6-I6-H6+76398.14</f>
        <v>2504795.17</v>
      </c>
      <c r="M6" s="68">
        <f t="shared" ref="M6:M13" si="0">SUM(I6:L6)</f>
        <v>3038181.25</v>
      </c>
      <c r="N6" s="68">
        <f t="shared" ref="N6:N13" si="1">M6+H6</f>
        <v>3097446.37</v>
      </c>
    </row>
    <row r="7" spans="1:14" ht="18.75">
      <c r="A7" s="40" t="s">
        <v>320</v>
      </c>
      <c r="B7" s="40"/>
      <c r="C7" s="40"/>
      <c r="D7" s="40"/>
      <c r="E7" s="40"/>
      <c r="F7" s="40"/>
      <c r="G7" s="40"/>
      <c r="H7" s="68">
        <v>48485.22</v>
      </c>
      <c r="I7" s="68">
        <v>43019.68</v>
      </c>
      <c r="J7" s="68">
        <v>43828.08</v>
      </c>
      <c r="K7" s="68">
        <v>0</v>
      </c>
      <c r="L7" s="68">
        <v>457858.87</v>
      </c>
      <c r="M7" s="68">
        <f t="shared" si="0"/>
        <v>544706.63</v>
      </c>
      <c r="N7" s="68">
        <f t="shared" si="1"/>
        <v>593191.85</v>
      </c>
    </row>
    <row r="8" spans="1:14" ht="18.75">
      <c r="A8" s="40" t="s">
        <v>366</v>
      </c>
      <c r="B8" s="40"/>
      <c r="C8" s="40"/>
      <c r="D8" s="40"/>
      <c r="E8" s="40"/>
      <c r="F8" s="40"/>
      <c r="G8" s="40"/>
      <c r="H8" s="68">
        <v>175296.74</v>
      </c>
      <c r="I8" s="68"/>
      <c r="J8" s="68">
        <v>509818.85</v>
      </c>
      <c r="K8" s="68">
        <v>604302.39</v>
      </c>
      <c r="L8" s="68">
        <f>1020543.75+8999436.22</f>
        <v>10019979.970000001</v>
      </c>
      <c r="M8" s="68">
        <f t="shared" si="0"/>
        <v>11134101.210000001</v>
      </c>
      <c r="N8" s="68">
        <f t="shared" si="1"/>
        <v>11309397.949999999</v>
      </c>
    </row>
    <row r="9" spans="1:14" ht="18.75">
      <c r="A9" s="40" t="s">
        <v>329</v>
      </c>
      <c r="B9" s="40"/>
      <c r="C9" s="40"/>
      <c r="D9" s="40"/>
      <c r="E9" s="40"/>
      <c r="F9" s="40"/>
      <c r="G9" s="13"/>
      <c r="H9" s="68">
        <v>75897.88</v>
      </c>
      <c r="I9" s="68"/>
      <c r="J9" s="68">
        <v>338694.85</v>
      </c>
      <c r="K9" s="68">
        <v>3420341.02</v>
      </c>
      <c r="L9" s="68">
        <v>17032516.75</v>
      </c>
      <c r="M9" s="68">
        <f t="shared" si="0"/>
        <v>20791552.620000001</v>
      </c>
      <c r="N9" s="68">
        <f t="shared" si="1"/>
        <v>20867450.5</v>
      </c>
    </row>
    <row r="10" spans="1:14" ht="18.75">
      <c r="A10" s="40" t="s">
        <v>409</v>
      </c>
      <c r="B10" s="40"/>
      <c r="C10" s="40"/>
      <c r="D10" s="40"/>
      <c r="E10" s="40"/>
      <c r="F10" s="40"/>
      <c r="G10" s="13"/>
      <c r="H10" s="68">
        <v>1143217</v>
      </c>
      <c r="I10" s="68">
        <v>1023886</v>
      </c>
      <c r="J10" s="68">
        <v>962894</v>
      </c>
      <c r="K10" s="68">
        <v>988091</v>
      </c>
      <c r="L10" s="68">
        <f>1028620+1003190+62267403</f>
        <v>64299213</v>
      </c>
      <c r="M10" s="68">
        <f t="shared" si="0"/>
        <v>67274084</v>
      </c>
      <c r="N10" s="68">
        <f t="shared" si="1"/>
        <v>68417301</v>
      </c>
    </row>
    <row r="11" spans="1:14" ht="18.75">
      <c r="A11" s="40" t="s">
        <v>92</v>
      </c>
      <c r="B11" s="40"/>
      <c r="C11" s="40"/>
      <c r="D11" s="40"/>
      <c r="E11" s="40"/>
      <c r="F11" s="40"/>
      <c r="G11" s="40"/>
      <c r="H11" s="68">
        <v>0</v>
      </c>
      <c r="I11" s="68">
        <v>0</v>
      </c>
      <c r="J11" s="68">
        <v>0</v>
      </c>
      <c r="K11" s="68">
        <v>0</v>
      </c>
      <c r="L11" s="68">
        <v>19195716</v>
      </c>
      <c r="M11" s="68">
        <f t="shared" si="0"/>
        <v>19195716</v>
      </c>
      <c r="N11" s="68">
        <f t="shared" si="1"/>
        <v>19195716</v>
      </c>
    </row>
    <row r="12" spans="1:14" ht="18.75">
      <c r="A12" s="69" t="s">
        <v>337</v>
      </c>
      <c r="B12" s="40"/>
      <c r="C12" s="40"/>
      <c r="D12" s="40"/>
      <c r="E12" s="40"/>
      <c r="F12" s="40"/>
      <c r="G12" s="40"/>
      <c r="H12" s="68"/>
      <c r="I12" s="68"/>
      <c r="J12" s="68"/>
      <c r="K12" s="68"/>
      <c r="L12" s="68">
        <f>599505.6+49778543.15+9693.98</f>
        <v>50387742.729999997</v>
      </c>
      <c r="M12" s="68">
        <f t="shared" si="0"/>
        <v>50387742.729999997</v>
      </c>
      <c r="N12" s="68">
        <f t="shared" si="1"/>
        <v>50387742.729999997</v>
      </c>
    </row>
    <row r="13" spans="1:14" ht="18.75">
      <c r="A13" s="40" t="s">
        <v>321</v>
      </c>
      <c r="B13" s="40"/>
      <c r="C13" s="40"/>
      <c r="D13" s="40"/>
      <c r="E13" s="40"/>
      <c r="F13" s="40"/>
      <c r="G13" s="40"/>
      <c r="H13" s="68"/>
      <c r="I13" s="68"/>
      <c r="J13" s="68"/>
      <c r="K13" s="68"/>
      <c r="L13" s="68">
        <f>1474845+7340413</f>
        <v>8815258</v>
      </c>
      <c r="M13" s="68">
        <f t="shared" si="0"/>
        <v>8815258</v>
      </c>
      <c r="N13" s="68">
        <f t="shared" si="1"/>
        <v>8815258</v>
      </c>
    </row>
    <row r="14" spans="1:14" ht="18.75">
      <c r="A14" s="40"/>
      <c r="B14" s="40"/>
      <c r="C14" s="40"/>
      <c r="D14" s="40"/>
      <c r="E14" s="40"/>
      <c r="F14" s="40"/>
      <c r="G14" s="40"/>
      <c r="H14" s="40"/>
      <c r="I14" s="40"/>
      <c r="J14" s="40"/>
      <c r="K14" s="40"/>
      <c r="L14" s="40"/>
      <c r="M14" s="40"/>
      <c r="N14" s="40"/>
    </row>
    <row r="15" spans="1:14" ht="18.75">
      <c r="A15" s="40"/>
      <c r="B15" s="40"/>
      <c r="C15" s="40"/>
      <c r="D15" s="40"/>
      <c r="E15" s="40"/>
      <c r="F15" s="40"/>
      <c r="G15" s="40"/>
      <c r="H15" s="17">
        <f>SUM(H6:H14)</f>
        <v>1502161.96</v>
      </c>
      <c r="I15" s="17">
        <f t="shared" ref="I15:M15" si="2">SUM(I6:I14)</f>
        <v>1185435.92</v>
      </c>
      <c r="J15" s="17">
        <f t="shared" si="2"/>
        <v>2033031.14</v>
      </c>
      <c r="K15" s="17">
        <f t="shared" si="2"/>
        <v>5249794.8899999997</v>
      </c>
      <c r="L15" s="17">
        <f t="shared" si="2"/>
        <v>172713080.49000001</v>
      </c>
      <c r="M15" s="17">
        <f t="shared" si="2"/>
        <v>181181342.44</v>
      </c>
      <c r="N15" s="17">
        <f>SUM(N6:N14)</f>
        <v>182683504.40000001</v>
      </c>
    </row>
    <row r="16" spans="1:14" ht="18.75">
      <c r="A16" s="40"/>
      <c r="B16" s="40"/>
      <c r="C16" s="40"/>
      <c r="D16" s="40"/>
      <c r="E16" s="40"/>
      <c r="F16" s="40"/>
      <c r="G16" s="13"/>
      <c r="H16" s="40"/>
      <c r="I16" s="40"/>
      <c r="J16" s="40"/>
      <c r="K16" s="40"/>
      <c r="L16" s="40"/>
      <c r="M16" s="40"/>
      <c r="N16" s="40"/>
    </row>
    <row r="17" spans="1:14" ht="18.75">
      <c r="A17" s="40"/>
      <c r="B17" s="40"/>
      <c r="C17" s="40"/>
      <c r="D17" s="65"/>
      <c r="E17" s="40"/>
      <c r="F17" s="40"/>
      <c r="G17" s="40"/>
      <c r="H17" s="17"/>
      <c r="I17" s="17"/>
      <c r="J17" s="17"/>
      <c r="K17" s="17"/>
      <c r="L17" s="17"/>
      <c r="M17" s="17"/>
      <c r="N17" s="17"/>
    </row>
    <row r="18" spans="1:14" ht="18.75">
      <c r="A18" s="40"/>
      <c r="B18" s="40"/>
      <c r="C18" s="40"/>
      <c r="E18" s="40"/>
      <c r="F18" s="40"/>
      <c r="G18" s="13"/>
      <c r="H18" s="40"/>
      <c r="I18" s="40"/>
      <c r="J18" s="40"/>
      <c r="K18" s="40"/>
      <c r="L18" s="40"/>
      <c r="M18" s="40"/>
      <c r="N18" s="40"/>
    </row>
    <row r="19" spans="1:14" ht="18.75">
      <c r="A19" s="40"/>
      <c r="B19" s="40"/>
      <c r="C19" s="40"/>
      <c r="D19" s="40"/>
      <c r="E19" s="40"/>
      <c r="F19" s="40"/>
      <c r="G19" s="40"/>
      <c r="H19" s="40"/>
      <c r="I19" s="40"/>
      <c r="J19" s="40"/>
      <c r="K19" s="40"/>
      <c r="L19" s="40"/>
      <c r="M19" s="40"/>
      <c r="N19" s="40"/>
    </row>
    <row r="20" spans="1:14" ht="18.75">
      <c r="A20" s="40"/>
      <c r="B20" s="40"/>
      <c r="C20" s="40"/>
      <c r="D20" s="40"/>
      <c r="E20" s="40"/>
      <c r="F20" s="40"/>
      <c r="G20" s="40"/>
      <c r="H20" s="40"/>
      <c r="I20" s="40"/>
      <c r="J20" s="40"/>
      <c r="K20" s="40"/>
      <c r="L20" s="40"/>
      <c r="M20" s="40"/>
      <c r="N20" s="40"/>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1"/>
  <sheetViews>
    <sheetView workbookViewId="0">
      <selection activeCell="G24" sqref="G24"/>
    </sheetView>
  </sheetViews>
  <sheetFormatPr defaultColWidth="8.7109375" defaultRowHeight="15"/>
  <cols>
    <col min="1" max="1" width="64.42578125" style="538" customWidth="1"/>
    <col min="2" max="2" width="14.85546875" style="163" bestFit="1" customWidth="1"/>
    <col min="3" max="3" width="8.7109375" style="538"/>
    <col min="4" max="4" width="13.140625" style="538" bestFit="1" customWidth="1"/>
    <col min="5" max="5" width="11.28515625" style="538" bestFit="1" customWidth="1"/>
    <col min="6" max="6" width="7.28515625" style="538" bestFit="1" customWidth="1"/>
    <col min="7" max="7" width="61.28515625" style="538" bestFit="1" customWidth="1"/>
    <col min="8" max="8" width="15.42578125" style="538" bestFit="1" customWidth="1"/>
    <col min="9" max="9" width="8.7109375" style="538"/>
    <col min="10" max="10" width="13.140625" style="538" bestFit="1" customWidth="1"/>
    <col min="11" max="11" width="11.28515625" style="538" bestFit="1" customWidth="1"/>
    <col min="12" max="12" width="8.7109375" style="538"/>
    <col min="13" max="13" width="59" style="538" bestFit="1" customWidth="1"/>
    <col min="14" max="14" width="15.42578125" style="538" bestFit="1" customWidth="1"/>
    <col min="15" max="16384" width="8.7109375" style="538"/>
  </cols>
  <sheetData>
    <row r="1" spans="1:8" ht="18" customHeight="1">
      <c r="A1" s="603" t="s">
        <v>410</v>
      </c>
      <c r="B1" s="604"/>
    </row>
    <row r="2" spans="1:8" ht="14.45" customHeight="1">
      <c r="A2" s="70" t="s">
        <v>411</v>
      </c>
      <c r="B2" s="605" t="s">
        <v>412</v>
      </c>
    </row>
    <row r="3" spans="1:8" ht="14.45" customHeight="1">
      <c r="A3" s="71" t="s">
        <v>413</v>
      </c>
      <c r="B3" s="606"/>
    </row>
    <row r="4" spans="1:8" ht="18.95" customHeight="1">
      <c r="A4" s="71" t="s">
        <v>414</v>
      </c>
      <c r="B4" s="606"/>
    </row>
    <row r="5" spans="1:8" ht="14.45" customHeight="1">
      <c r="A5" s="72" t="s">
        <v>204</v>
      </c>
      <c r="B5" s="607"/>
      <c r="G5" s="73"/>
      <c r="H5" s="74"/>
    </row>
    <row r="6" spans="1:8" ht="22.5" customHeight="1">
      <c r="A6" s="75" t="s">
        <v>415</v>
      </c>
      <c r="B6" s="76">
        <v>1</v>
      </c>
      <c r="G6" s="199"/>
      <c r="H6" s="74"/>
    </row>
    <row r="7" spans="1:8" ht="22.5" customHeight="1">
      <c r="A7" s="77" t="s">
        <v>416</v>
      </c>
      <c r="B7" s="78">
        <v>1.2</v>
      </c>
      <c r="G7" s="73"/>
      <c r="H7" s="74"/>
    </row>
    <row r="8" spans="1:8" ht="22.5" customHeight="1">
      <c r="A8" s="20" t="s">
        <v>417</v>
      </c>
      <c r="B8" s="79">
        <v>8.1999999999999993</v>
      </c>
      <c r="G8" s="219"/>
      <c r="H8" s="74"/>
    </row>
    <row r="9" spans="1:8" ht="22.5" customHeight="1">
      <c r="A9" s="80" t="s">
        <v>418</v>
      </c>
      <c r="B9" s="78">
        <v>0.9</v>
      </c>
      <c r="G9" s="219"/>
      <c r="H9" s="219"/>
    </row>
    <row r="10" spans="1:8" s="12" customFormat="1" ht="22.5" customHeight="1">
      <c r="A10" s="77" t="s">
        <v>419</v>
      </c>
      <c r="B10" s="79">
        <v>17.5</v>
      </c>
    </row>
    <row r="11" spans="1:8" s="12" customFormat="1" ht="22.5" customHeight="1">
      <c r="A11" s="80" t="s">
        <v>420</v>
      </c>
      <c r="B11" s="78">
        <v>3.2</v>
      </c>
    </row>
    <row r="12" spans="1:8" s="12" customFormat="1" ht="22.5" customHeight="1">
      <c r="A12" s="81" t="s">
        <v>421</v>
      </c>
      <c r="B12" s="79">
        <v>5.8</v>
      </c>
    </row>
    <row r="13" spans="1:8" s="12" customFormat="1" ht="22.5" customHeight="1">
      <c r="A13" s="80" t="s">
        <v>422</v>
      </c>
      <c r="B13" s="79">
        <v>9.4</v>
      </c>
    </row>
    <row r="14" spans="1:8" s="12" customFormat="1" ht="22.5" customHeight="1">
      <c r="A14" s="82" t="s">
        <v>327</v>
      </c>
      <c r="B14" s="78">
        <v>0.3</v>
      </c>
    </row>
    <row r="15" spans="1:8" s="12" customFormat="1" ht="22.5" customHeight="1">
      <c r="A15" s="80" t="s">
        <v>328</v>
      </c>
      <c r="B15" s="78">
        <v>0</v>
      </c>
    </row>
    <row r="16" spans="1:8" s="12" customFormat="1" ht="22.5" customHeight="1">
      <c r="A16" s="77" t="s">
        <v>330</v>
      </c>
      <c r="B16" s="78">
        <v>0.1</v>
      </c>
    </row>
    <row r="17" spans="1:2" s="12" customFormat="1" ht="22.5" customHeight="1">
      <c r="A17" s="83" t="s">
        <v>374</v>
      </c>
      <c r="B17" s="78">
        <v>0.4</v>
      </c>
    </row>
    <row r="18" spans="1:2" s="12" customFormat="1" ht="22.5" customHeight="1">
      <c r="A18" s="9" t="s">
        <v>423</v>
      </c>
      <c r="B18" s="78">
        <v>19.2</v>
      </c>
    </row>
    <row r="19" spans="1:2" s="12" customFormat="1" ht="22.5" customHeight="1">
      <c r="A19" s="80" t="s">
        <v>424</v>
      </c>
      <c r="B19" s="79">
        <v>93.8</v>
      </c>
    </row>
    <row r="20" spans="1:2" s="12" customFormat="1" ht="22.5" customHeight="1">
      <c r="A20" s="84" t="s">
        <v>425</v>
      </c>
      <c r="B20" s="79">
        <v>5.8</v>
      </c>
    </row>
    <row r="21" spans="1:2" s="12" customFormat="1" ht="22.5" customHeight="1">
      <c r="A21" s="84" t="s">
        <v>426</v>
      </c>
      <c r="B21" s="79">
        <v>11.6</v>
      </c>
    </row>
    <row r="22" spans="1:2" s="12" customFormat="1" ht="22.5" customHeight="1">
      <c r="A22" s="10" t="s">
        <v>427</v>
      </c>
      <c r="B22" s="78">
        <v>0.9</v>
      </c>
    </row>
    <row r="23" spans="1:2" s="12" customFormat="1" ht="22.5" customHeight="1">
      <c r="A23" s="20" t="s">
        <v>428</v>
      </c>
      <c r="B23" s="78">
        <v>1.6</v>
      </c>
    </row>
    <row r="24" spans="1:2" s="12" customFormat="1" ht="22.5" customHeight="1">
      <c r="A24" s="11" t="s">
        <v>429</v>
      </c>
      <c r="B24" s="79">
        <v>10</v>
      </c>
    </row>
    <row r="25" spans="1:2" s="12" customFormat="1" ht="22.5" customHeight="1">
      <c r="A25" s="85" t="s">
        <v>430</v>
      </c>
      <c r="B25" s="78">
        <v>1.2</v>
      </c>
    </row>
    <row r="26" spans="1:2" s="12" customFormat="1" ht="22.5" customHeight="1">
      <c r="A26" s="80" t="s">
        <v>338</v>
      </c>
      <c r="B26" s="78">
        <v>1.2</v>
      </c>
    </row>
    <row r="27" spans="1:2" s="12" customFormat="1" ht="22.5" customHeight="1">
      <c r="A27" s="20" t="s">
        <v>339</v>
      </c>
      <c r="B27" s="78">
        <v>0.6</v>
      </c>
    </row>
    <row r="28" spans="1:2" s="12" customFormat="1" ht="22.5" customHeight="1">
      <c r="A28" s="202" t="s">
        <v>431</v>
      </c>
      <c r="B28" s="79">
        <v>4.8</v>
      </c>
    </row>
    <row r="29" spans="1:2" s="12" customFormat="1" ht="39" customHeight="1">
      <c r="A29" s="80" t="s">
        <v>341</v>
      </c>
      <c r="B29" s="78">
        <v>0</v>
      </c>
    </row>
    <row r="30" spans="1:2" s="12" customFormat="1" ht="22.5" customHeight="1">
      <c r="A30" s="20" t="s">
        <v>341</v>
      </c>
      <c r="B30" s="78">
        <v>0.4</v>
      </c>
    </row>
    <row r="31" spans="1:2" s="12" customFormat="1" ht="22.5" customHeight="1">
      <c r="A31" s="86" t="s">
        <v>342</v>
      </c>
      <c r="B31" s="15">
        <v>0</v>
      </c>
    </row>
    <row r="32" spans="1:2" s="12" customFormat="1" ht="22.5" customHeight="1">
      <c r="A32" s="86" t="s">
        <v>342</v>
      </c>
      <c r="B32" s="78">
        <v>0.4</v>
      </c>
    </row>
    <row r="33" spans="1:2" s="12" customFormat="1" ht="22.5" customHeight="1">
      <c r="A33" s="80" t="s">
        <v>343</v>
      </c>
      <c r="B33" s="78">
        <v>1.8</v>
      </c>
    </row>
    <row r="34" spans="1:2" s="12" customFormat="1" ht="22.5" customHeight="1">
      <c r="A34" s="20" t="s">
        <v>432</v>
      </c>
      <c r="B34" s="79">
        <v>13.4</v>
      </c>
    </row>
    <row r="35" spans="1:2" s="12" customFormat="1" ht="22.5" customHeight="1">
      <c r="A35" s="77" t="s">
        <v>433</v>
      </c>
      <c r="B35" s="79">
        <v>6.9</v>
      </c>
    </row>
    <row r="36" spans="1:2" s="12" customFormat="1" ht="22.5" customHeight="1">
      <c r="A36" s="87" t="s">
        <v>434</v>
      </c>
      <c r="B36" s="79">
        <v>20.2</v>
      </c>
    </row>
    <row r="37" spans="1:2" s="12" customFormat="1" ht="22.5" customHeight="1">
      <c r="A37" s="88" t="s">
        <v>435</v>
      </c>
      <c r="B37" s="79">
        <v>8.1999999999999993</v>
      </c>
    </row>
    <row r="38" spans="1:2" s="12" customFormat="1" ht="22.5" customHeight="1">
      <c r="A38" s="88" t="s">
        <v>347</v>
      </c>
      <c r="B38" s="78">
        <v>2.8</v>
      </c>
    </row>
    <row r="39" spans="1:2" s="12" customFormat="1" ht="22.5" customHeight="1">
      <c r="A39" s="9" t="s">
        <v>436</v>
      </c>
      <c r="B39" s="78">
        <v>5.4</v>
      </c>
    </row>
    <row r="40" spans="1:2" s="12" customFormat="1" ht="22.5" customHeight="1">
      <c r="A40" s="20" t="s">
        <v>437</v>
      </c>
      <c r="B40" s="78">
        <v>0.3</v>
      </c>
    </row>
    <row r="41" spans="1:2" s="12" customFormat="1" ht="22.5" customHeight="1">
      <c r="A41" s="80" t="s">
        <v>438</v>
      </c>
      <c r="B41" s="78">
        <v>0.2</v>
      </c>
    </row>
    <row r="42" spans="1:2" s="12" customFormat="1" ht="22.5" customHeight="1">
      <c r="A42" s="77" t="s">
        <v>439</v>
      </c>
      <c r="B42" s="79">
        <v>16.5</v>
      </c>
    </row>
    <row r="43" spans="1:2" s="12" customFormat="1" ht="22.5" customHeight="1">
      <c r="A43" s="20" t="s">
        <v>440</v>
      </c>
      <c r="B43" s="78">
        <v>1.5</v>
      </c>
    </row>
    <row r="44" spans="1:2" s="12" customFormat="1" ht="22.5" customHeight="1">
      <c r="A44" s="77" t="s">
        <v>354</v>
      </c>
      <c r="B44" s="78">
        <v>0.7</v>
      </c>
    </row>
    <row r="45" spans="1:2" s="12" customFormat="1" ht="22.5" customHeight="1">
      <c r="A45" s="20" t="s">
        <v>441</v>
      </c>
      <c r="B45" s="78">
        <v>1.1000000000000001</v>
      </c>
    </row>
    <row r="46" spans="1:2" s="12" customFormat="1" ht="22.5" customHeight="1">
      <c r="A46" s="20" t="s">
        <v>442</v>
      </c>
      <c r="B46" s="78">
        <v>11.2</v>
      </c>
    </row>
    <row r="47" spans="1:2" s="12" customFormat="1" ht="22.5" customHeight="1">
      <c r="A47" s="80" t="s">
        <v>443</v>
      </c>
      <c r="B47" s="78">
        <v>0.2</v>
      </c>
    </row>
    <row r="48" spans="1:2" s="12" customFormat="1" ht="22.5" customHeight="1">
      <c r="A48" s="192" t="s">
        <v>444</v>
      </c>
      <c r="B48" s="79">
        <v>3.9</v>
      </c>
    </row>
    <row r="49" spans="1:3" s="12" customFormat="1" ht="22.5" customHeight="1">
      <c r="A49" s="89" t="s">
        <v>445</v>
      </c>
      <c r="B49" s="78">
        <v>1.5</v>
      </c>
    </row>
    <row r="50" spans="1:3" s="12" customFormat="1" ht="22.5" customHeight="1">
      <c r="A50" s="192" t="s">
        <v>446</v>
      </c>
      <c r="B50" s="78">
        <v>0.5</v>
      </c>
    </row>
    <row r="51" spans="1:3" s="90" customFormat="1" ht="22.5" customHeight="1">
      <c r="A51" s="20" t="s">
        <v>447</v>
      </c>
      <c r="B51" s="79">
        <v>5.2</v>
      </c>
    </row>
    <row r="52" spans="1:3" s="90" customFormat="1" ht="22.5" customHeight="1">
      <c r="A52" s="81" t="s">
        <v>362</v>
      </c>
      <c r="B52" s="78">
        <v>0.2</v>
      </c>
    </row>
    <row r="53" spans="1:3" s="90" customFormat="1" ht="22.5" customHeight="1">
      <c r="A53" s="82" t="s">
        <v>363</v>
      </c>
      <c r="B53" s="79">
        <v>5</v>
      </c>
    </row>
    <row r="54" spans="1:3" s="90" customFormat="1" ht="22.5" customHeight="1">
      <c r="A54" s="91" t="s">
        <v>364</v>
      </c>
      <c r="B54" s="79">
        <v>0</v>
      </c>
    </row>
    <row r="55" spans="1:3" s="90" customFormat="1" ht="22.5" customHeight="1">
      <c r="A55" s="91" t="s">
        <v>364</v>
      </c>
      <c r="B55" s="79">
        <v>4.2</v>
      </c>
    </row>
    <row r="56" spans="1:3" s="90" customFormat="1" ht="22.5" customHeight="1">
      <c r="A56" s="92" t="s">
        <v>448</v>
      </c>
      <c r="B56" s="79">
        <v>8.8000000000000007</v>
      </c>
    </row>
    <row r="57" spans="1:3" s="90" customFormat="1" ht="22.5" customHeight="1">
      <c r="A57" s="20" t="s">
        <v>449</v>
      </c>
      <c r="B57" s="79">
        <v>6.4</v>
      </c>
    </row>
    <row r="58" spans="1:3" s="90" customFormat="1" ht="22.5" customHeight="1">
      <c r="A58" s="20" t="s">
        <v>450</v>
      </c>
      <c r="B58" s="78">
        <v>0</v>
      </c>
    </row>
    <row r="59" spans="1:3" s="90" customFormat="1" ht="30" customHeight="1">
      <c r="A59" s="20" t="s">
        <v>451</v>
      </c>
      <c r="B59" s="78">
        <v>0.2</v>
      </c>
    </row>
    <row r="60" spans="1:3" s="90" customFormat="1" ht="33.75" customHeight="1">
      <c r="A60" s="80" t="s">
        <v>452</v>
      </c>
      <c r="B60" s="78">
        <v>0.1</v>
      </c>
    </row>
    <row r="61" spans="1:3" s="90" customFormat="1" ht="31.5" customHeight="1">
      <c r="A61" s="20" t="s">
        <v>453</v>
      </c>
      <c r="B61" s="78">
        <v>0</v>
      </c>
    </row>
    <row r="62" spans="1:3" s="90" customFormat="1" ht="33" customHeight="1">
      <c r="A62" s="80" t="s">
        <v>454</v>
      </c>
      <c r="B62" s="78">
        <v>0.5</v>
      </c>
    </row>
    <row r="63" spans="1:3" s="94" customFormat="1" ht="31.5" customHeight="1">
      <c r="A63" s="20" t="s">
        <v>455</v>
      </c>
      <c r="B63" s="78">
        <v>0.2</v>
      </c>
      <c r="C63" s="93"/>
    </row>
    <row r="64" spans="1:3" s="95" customFormat="1" ht="33.75" customHeight="1">
      <c r="A64" s="80" t="s">
        <v>456</v>
      </c>
      <c r="B64" s="78">
        <v>0.1</v>
      </c>
    </row>
    <row r="65" spans="1:2" s="95" customFormat="1" ht="28.5" customHeight="1">
      <c r="A65" s="20" t="s">
        <v>457</v>
      </c>
      <c r="B65" s="78">
        <v>0</v>
      </c>
    </row>
    <row r="66" spans="1:2" s="95" customFormat="1" ht="22.5" customHeight="1">
      <c r="A66" s="80" t="s">
        <v>458</v>
      </c>
      <c r="B66" s="78">
        <v>0.4</v>
      </c>
    </row>
    <row r="67" spans="1:2" s="95" customFormat="1" ht="30" customHeight="1">
      <c r="A67" s="20" t="s">
        <v>459</v>
      </c>
      <c r="B67" s="78">
        <v>0</v>
      </c>
    </row>
    <row r="68" spans="1:2" s="95" customFormat="1" ht="22.5" customHeight="1">
      <c r="A68" s="80" t="s">
        <v>460</v>
      </c>
      <c r="B68" s="78">
        <v>0.3</v>
      </c>
    </row>
    <row r="69" spans="1:2" s="95" customFormat="1" ht="22.5" customHeight="1">
      <c r="A69" s="20" t="s">
        <v>461</v>
      </c>
      <c r="B69" s="78">
        <v>0</v>
      </c>
    </row>
    <row r="70" spans="1:2" s="95" customFormat="1" ht="22.5" customHeight="1">
      <c r="A70" s="20" t="s">
        <v>462</v>
      </c>
      <c r="B70" s="78">
        <v>0.1</v>
      </c>
    </row>
    <row r="71" spans="1:2" s="95" customFormat="1" ht="22.5" customHeight="1">
      <c r="A71" s="80" t="s">
        <v>463</v>
      </c>
      <c r="B71" s="78">
        <v>0</v>
      </c>
    </row>
    <row r="72" spans="1:2" s="95" customFormat="1" ht="22.5" customHeight="1">
      <c r="A72" s="80" t="s">
        <v>464</v>
      </c>
      <c r="B72" s="78">
        <v>0.1</v>
      </c>
    </row>
    <row r="73" spans="1:2" s="95" customFormat="1" ht="22.5" customHeight="1">
      <c r="A73" s="20" t="s">
        <v>465</v>
      </c>
      <c r="B73" s="78">
        <v>0.2</v>
      </c>
    </row>
    <row r="74" spans="1:2" s="95" customFormat="1" ht="22.5" customHeight="1">
      <c r="A74" s="80" t="s">
        <v>466</v>
      </c>
      <c r="B74" s="78">
        <v>0</v>
      </c>
    </row>
    <row r="75" spans="1:2" s="95" customFormat="1" ht="22.5" customHeight="1">
      <c r="A75" s="80" t="s">
        <v>467</v>
      </c>
      <c r="B75" s="78">
        <v>0.1</v>
      </c>
    </row>
    <row r="76" spans="1:2" s="95" customFormat="1" ht="22.5" customHeight="1">
      <c r="A76" s="20" t="s">
        <v>468</v>
      </c>
      <c r="B76" s="78">
        <v>0.2</v>
      </c>
    </row>
    <row r="77" spans="1:2" s="95" customFormat="1" ht="22.5" customHeight="1">
      <c r="A77" s="20" t="s">
        <v>469</v>
      </c>
      <c r="B77" s="78">
        <v>0.3</v>
      </c>
    </row>
    <row r="78" spans="1:2" s="95" customFormat="1" ht="22.5" customHeight="1">
      <c r="A78" s="20" t="s">
        <v>470</v>
      </c>
      <c r="B78" s="78">
        <v>0.1</v>
      </c>
    </row>
    <row r="79" spans="1:2" s="95" customFormat="1" ht="22.5" customHeight="1">
      <c r="A79" s="80" t="s">
        <v>471</v>
      </c>
      <c r="B79" s="78">
        <v>0.1</v>
      </c>
    </row>
    <row r="80" spans="1:2" s="95" customFormat="1" ht="22.5" customHeight="1">
      <c r="A80" s="80" t="s">
        <v>472</v>
      </c>
      <c r="B80" s="78">
        <v>0.1</v>
      </c>
    </row>
    <row r="81" spans="1:15" s="95" customFormat="1" ht="22.5" customHeight="1">
      <c r="A81" s="80" t="s">
        <v>473</v>
      </c>
      <c r="B81" s="78">
        <v>0.1</v>
      </c>
    </row>
    <row r="82" spans="1:15" s="90" customFormat="1" ht="22.5" customHeight="1">
      <c r="A82" s="81" t="s">
        <v>474</v>
      </c>
      <c r="B82" s="78">
        <v>2</v>
      </c>
    </row>
    <row r="83" spans="1:15" s="90" customFormat="1" ht="22.5" customHeight="1">
      <c r="A83" s="80" t="s">
        <v>420</v>
      </c>
      <c r="B83" s="78">
        <v>1.9</v>
      </c>
    </row>
    <row r="84" spans="1:15" s="90" customFormat="1" ht="22.5" customHeight="1">
      <c r="A84" s="80" t="s">
        <v>369</v>
      </c>
      <c r="B84" s="78">
        <v>1</v>
      </c>
    </row>
    <row r="85" spans="1:15" s="90" customFormat="1" ht="22.5" customHeight="1">
      <c r="A85" s="80" t="s">
        <v>370</v>
      </c>
      <c r="B85" s="78">
        <v>0.9</v>
      </c>
    </row>
    <row r="86" spans="1:15" s="90" customFormat="1" ht="22.5" customHeight="1">
      <c r="A86" s="80" t="s">
        <v>475</v>
      </c>
      <c r="B86" s="78">
        <v>1.4</v>
      </c>
    </row>
    <row r="87" spans="1:15" s="90" customFormat="1" ht="22.5" customHeight="1">
      <c r="A87" s="80" t="s">
        <v>476</v>
      </c>
      <c r="B87" s="79">
        <f>1.3100715+5.582</f>
        <v>6.9</v>
      </c>
    </row>
    <row r="88" spans="1:15" s="90" customFormat="1" ht="22.5" customHeight="1">
      <c r="A88" s="20" t="s">
        <v>372</v>
      </c>
      <c r="B88" s="79">
        <f>4.17327793+5.195534+242</f>
        <v>251.4</v>
      </c>
    </row>
    <row r="89" spans="1:15" s="90" customFormat="1" ht="22.5" customHeight="1">
      <c r="A89" s="96" t="s">
        <v>477</v>
      </c>
      <c r="B89" s="78">
        <v>0</v>
      </c>
    </row>
    <row r="90" spans="1:15" s="90" customFormat="1" ht="22.5" customHeight="1">
      <c r="A90" s="96" t="s">
        <v>477</v>
      </c>
      <c r="B90" s="79">
        <v>5</v>
      </c>
    </row>
    <row r="91" spans="1:15" ht="24" customHeight="1">
      <c r="A91" s="18" t="s">
        <v>201</v>
      </c>
      <c r="B91" s="97">
        <f>SUM(B6:B90)</f>
        <v>599.29999999999995</v>
      </c>
    </row>
    <row r="93" spans="1:15">
      <c r="A93" s="538" t="s">
        <v>376</v>
      </c>
      <c r="B93" s="98"/>
      <c r="C93" s="219"/>
      <c r="D93" s="219"/>
      <c r="E93" s="219"/>
      <c r="F93" s="219"/>
      <c r="G93" s="219"/>
      <c r="H93" s="219"/>
      <c r="I93" s="219"/>
      <c r="J93" s="219"/>
      <c r="K93" s="219"/>
      <c r="L93" s="219"/>
      <c r="M93" s="219"/>
      <c r="N93" s="219"/>
      <c r="O93" s="219"/>
    </row>
    <row r="94" spans="1:15">
      <c r="A94" s="219"/>
      <c r="B94" s="98"/>
      <c r="C94" s="219"/>
      <c r="D94" s="99"/>
      <c r="E94" s="100"/>
      <c r="F94" s="101"/>
      <c r="G94" s="121"/>
      <c r="H94" s="102"/>
      <c r="I94" s="219"/>
      <c r="J94" s="219"/>
      <c r="K94" s="219"/>
      <c r="L94" s="219"/>
      <c r="M94" s="219"/>
      <c r="N94" s="219"/>
      <c r="O94" s="219"/>
    </row>
    <row r="95" spans="1:15">
      <c r="A95" s="219"/>
      <c r="B95" s="98"/>
      <c r="C95" s="219"/>
      <c r="D95" s="99"/>
      <c r="E95" s="100"/>
      <c r="F95" s="101"/>
      <c r="G95" s="121"/>
      <c r="H95" s="102"/>
      <c r="I95" s="219"/>
      <c r="J95" s="219"/>
      <c r="K95" s="219"/>
      <c r="L95" s="219"/>
      <c r="M95" s="219"/>
      <c r="N95" s="219"/>
      <c r="O95" s="219"/>
    </row>
    <row r="96" spans="1:15">
      <c r="A96" s="219"/>
      <c r="B96" s="98"/>
      <c r="C96" s="219"/>
      <c r="D96" s="99"/>
      <c r="E96" s="100"/>
      <c r="F96" s="101"/>
      <c r="G96" s="121"/>
      <c r="H96" s="102"/>
      <c r="I96" s="219"/>
      <c r="J96" s="219"/>
      <c r="K96" s="219"/>
      <c r="L96" s="219"/>
      <c r="M96" s="219"/>
      <c r="N96" s="219"/>
      <c r="O96" s="219"/>
    </row>
    <row r="97" spans="1:15">
      <c r="A97" s="219"/>
      <c r="B97" s="98"/>
      <c r="C97" s="219"/>
      <c r="D97" s="14"/>
      <c r="E97" s="103"/>
      <c r="F97" s="104"/>
      <c r="G97" s="7"/>
      <c r="H97" s="105"/>
      <c r="I97" s="219"/>
      <c r="J97" s="219"/>
      <c r="K97" s="219"/>
      <c r="L97" s="219"/>
      <c r="M97" s="219"/>
      <c r="N97" s="219"/>
      <c r="O97" s="219"/>
    </row>
    <row r="98" spans="1:15">
      <c r="A98" s="219"/>
      <c r="B98" s="98"/>
      <c r="C98" s="219"/>
      <c r="D98" s="99"/>
      <c r="E98" s="100"/>
      <c r="F98" s="101"/>
      <c r="G98" s="121"/>
      <c r="H98" s="102"/>
      <c r="I98" s="219"/>
      <c r="J98" s="219"/>
      <c r="K98" s="219"/>
      <c r="L98" s="219"/>
      <c r="M98" s="219"/>
      <c r="N98" s="219"/>
      <c r="O98" s="219"/>
    </row>
    <row r="99" spans="1:15">
      <c r="A99" s="219"/>
      <c r="B99" s="98"/>
      <c r="C99" s="219"/>
      <c r="D99" s="99"/>
      <c r="E99" s="100"/>
      <c r="F99" s="101"/>
      <c r="G99" s="121"/>
      <c r="H99" s="102"/>
      <c r="I99" s="219"/>
      <c r="J99" s="219"/>
      <c r="K99" s="219"/>
      <c r="L99" s="219"/>
      <c r="M99" s="219"/>
      <c r="N99" s="219"/>
      <c r="O99" s="219"/>
    </row>
    <row r="100" spans="1:15">
      <c r="A100" s="219"/>
      <c r="B100" s="98"/>
      <c r="C100" s="219"/>
      <c r="D100" s="14"/>
      <c r="E100" s="103"/>
      <c r="F100" s="104"/>
      <c r="G100" s="7"/>
      <c r="H100" s="105"/>
      <c r="I100" s="219"/>
      <c r="J100" s="219"/>
      <c r="K100" s="219"/>
      <c r="L100" s="219"/>
      <c r="M100" s="219"/>
      <c r="N100" s="219"/>
      <c r="O100" s="219"/>
    </row>
    <row r="101" spans="1:15">
      <c r="A101" s="219"/>
      <c r="B101" s="98"/>
      <c r="C101" s="219"/>
      <c r="D101" s="14"/>
      <c r="E101" s="103"/>
      <c r="F101" s="104"/>
      <c r="G101" s="7"/>
      <c r="H101" s="105"/>
      <c r="I101" s="219"/>
      <c r="J101" s="219"/>
      <c r="K101" s="219"/>
      <c r="L101" s="219"/>
      <c r="M101" s="219"/>
      <c r="N101" s="219"/>
      <c r="O101" s="219"/>
    </row>
    <row r="102" spans="1:15">
      <c r="A102" s="219"/>
      <c r="B102" s="98"/>
      <c r="C102" s="219"/>
      <c r="D102" s="99"/>
      <c r="E102" s="100"/>
      <c r="F102" s="101"/>
      <c r="G102" s="121"/>
      <c r="H102" s="102"/>
      <c r="I102" s="219"/>
      <c r="J102" s="219"/>
      <c r="K102" s="219"/>
      <c r="L102" s="219"/>
      <c r="M102" s="219"/>
      <c r="N102" s="219"/>
      <c r="O102" s="219"/>
    </row>
    <row r="103" spans="1:15">
      <c r="A103" s="219"/>
      <c r="B103" s="98"/>
      <c r="C103" s="219"/>
      <c r="D103" s="106"/>
      <c r="E103" s="107"/>
      <c r="F103" s="108"/>
      <c r="G103" s="109"/>
      <c r="H103" s="110"/>
      <c r="I103" s="219"/>
      <c r="J103" s="219"/>
      <c r="K103" s="219"/>
      <c r="L103" s="219"/>
      <c r="M103" s="219"/>
      <c r="N103" s="219"/>
      <c r="O103" s="219"/>
    </row>
    <row r="104" spans="1:15">
      <c r="A104" s="219"/>
      <c r="B104" s="98"/>
      <c r="C104" s="219"/>
      <c r="D104" s="99"/>
      <c r="E104" s="100"/>
      <c r="F104" s="101"/>
      <c r="G104" s="121"/>
      <c r="H104" s="102"/>
      <c r="I104" s="219"/>
      <c r="J104" s="219"/>
      <c r="K104" s="219"/>
      <c r="L104" s="219"/>
      <c r="M104" s="219"/>
      <c r="N104" s="219"/>
      <c r="O104" s="219"/>
    </row>
    <row r="105" spans="1:15">
      <c r="A105" s="219"/>
      <c r="B105" s="98"/>
      <c r="C105" s="219"/>
      <c r="D105" s="99"/>
      <c r="E105" s="100"/>
      <c r="F105" s="101"/>
      <c r="G105" s="121"/>
      <c r="H105" s="102"/>
      <c r="I105" s="219"/>
      <c r="J105" s="219"/>
      <c r="K105" s="219"/>
      <c r="L105" s="219"/>
      <c r="M105" s="219"/>
      <c r="N105" s="219"/>
      <c r="O105" s="219"/>
    </row>
    <row r="106" spans="1:15">
      <c r="A106" s="219"/>
      <c r="B106" s="98"/>
      <c r="C106" s="219"/>
      <c r="D106" s="99"/>
      <c r="E106" s="100"/>
      <c r="F106" s="101"/>
      <c r="G106" s="121"/>
      <c r="H106" s="102"/>
      <c r="I106" s="219"/>
      <c r="J106" s="219"/>
      <c r="K106" s="219"/>
      <c r="L106" s="219"/>
      <c r="M106" s="219"/>
      <c r="N106" s="219"/>
      <c r="O106" s="219"/>
    </row>
    <row r="107" spans="1:15">
      <c r="A107" s="219"/>
      <c r="B107" s="98"/>
      <c r="C107" s="219"/>
      <c r="D107" s="106"/>
      <c r="E107" s="107"/>
      <c r="F107" s="108"/>
      <c r="G107" s="109"/>
      <c r="H107" s="110"/>
      <c r="I107" s="219"/>
      <c r="J107" s="219"/>
      <c r="K107" s="219"/>
      <c r="L107" s="219"/>
      <c r="M107" s="219"/>
      <c r="N107" s="219"/>
      <c r="O107" s="219"/>
    </row>
    <row r="108" spans="1:15">
      <c r="A108" s="219"/>
      <c r="B108" s="98"/>
      <c r="C108" s="219"/>
      <c r="D108" s="106"/>
      <c r="E108" s="107"/>
      <c r="F108" s="108"/>
      <c r="G108" s="109"/>
      <c r="H108" s="110"/>
      <c r="I108" s="219"/>
      <c r="J108" s="219"/>
      <c r="K108" s="219"/>
      <c r="L108" s="219"/>
      <c r="M108" s="219"/>
      <c r="N108" s="219"/>
      <c r="O108" s="219"/>
    </row>
    <row r="109" spans="1:15">
      <c r="A109" s="219"/>
      <c r="B109" s="98"/>
      <c r="C109" s="219"/>
      <c r="D109" s="106"/>
      <c r="E109" s="107"/>
      <c r="F109" s="108"/>
      <c r="G109" s="109"/>
      <c r="H109" s="110"/>
      <c r="I109" s="219"/>
      <c r="J109" s="219"/>
      <c r="K109" s="219"/>
      <c r="L109" s="219"/>
      <c r="M109" s="219"/>
      <c r="N109" s="219"/>
      <c r="O109" s="219"/>
    </row>
    <row r="110" spans="1:15">
      <c r="A110" s="219"/>
      <c r="B110" s="98"/>
      <c r="C110" s="219"/>
      <c r="D110" s="106"/>
      <c r="E110" s="107"/>
      <c r="F110" s="108"/>
      <c r="G110" s="109"/>
      <c r="H110" s="110"/>
      <c r="I110" s="219"/>
      <c r="J110" s="219"/>
      <c r="K110" s="219"/>
      <c r="L110" s="219"/>
      <c r="M110" s="219"/>
      <c r="N110" s="219"/>
      <c r="O110" s="219"/>
    </row>
    <row r="111" spans="1:15">
      <c r="A111" s="219"/>
      <c r="B111" s="98"/>
      <c r="C111" s="219"/>
      <c r="D111" s="111"/>
      <c r="E111" s="112"/>
      <c r="F111" s="113"/>
      <c r="G111" s="114"/>
      <c r="H111" s="115"/>
      <c r="I111" s="219"/>
      <c r="J111" s="219"/>
      <c r="K111" s="219"/>
      <c r="L111" s="219"/>
      <c r="M111" s="219"/>
      <c r="N111" s="219"/>
      <c r="O111" s="219"/>
    </row>
    <row r="112" spans="1:15">
      <c r="A112" s="219"/>
      <c r="B112" s="98"/>
      <c r="C112" s="219"/>
      <c r="D112" s="99"/>
      <c r="E112" s="100"/>
      <c r="F112" s="101"/>
      <c r="G112" s="116"/>
      <c r="H112" s="102"/>
      <c r="I112" s="219"/>
      <c r="J112" s="219"/>
      <c r="K112" s="219"/>
      <c r="L112" s="219"/>
      <c r="M112" s="219"/>
      <c r="N112" s="219"/>
      <c r="O112" s="219"/>
    </row>
    <row r="113" spans="1:15">
      <c r="A113" s="219"/>
      <c r="B113" s="98"/>
      <c r="C113" s="219"/>
      <c r="D113" s="14"/>
      <c r="E113" s="103"/>
      <c r="F113" s="104"/>
      <c r="G113" s="7"/>
      <c r="H113" s="105"/>
      <c r="I113" s="219"/>
      <c r="J113" s="219"/>
      <c r="K113" s="219"/>
      <c r="L113" s="219"/>
      <c r="M113" s="219"/>
      <c r="N113" s="219"/>
      <c r="O113" s="219"/>
    </row>
    <row r="114" spans="1:15">
      <c r="A114" s="219"/>
      <c r="B114" s="98"/>
      <c r="C114" s="219"/>
      <c r="D114" s="14"/>
      <c r="E114" s="103"/>
      <c r="F114" s="104"/>
      <c r="G114" s="7"/>
      <c r="H114" s="105"/>
      <c r="I114" s="219"/>
      <c r="J114" s="219"/>
      <c r="K114" s="219"/>
      <c r="L114" s="219"/>
      <c r="M114" s="219"/>
      <c r="N114" s="219"/>
      <c r="O114" s="219"/>
    </row>
    <row r="115" spans="1:15">
      <c r="A115" s="219"/>
      <c r="B115" s="117"/>
      <c r="C115" s="219"/>
      <c r="D115" s="14"/>
      <c r="E115" s="103"/>
      <c r="F115" s="104"/>
      <c r="G115" s="7"/>
      <c r="H115" s="105"/>
      <c r="I115" s="219"/>
      <c r="J115" s="219"/>
      <c r="K115" s="219"/>
      <c r="L115" s="219"/>
      <c r="M115" s="219"/>
      <c r="N115" s="219"/>
      <c r="O115" s="219"/>
    </row>
    <row r="116" spans="1:15">
      <c r="A116" s="219"/>
      <c r="B116" s="117"/>
      <c r="C116" s="219"/>
      <c r="D116" s="14"/>
      <c r="E116" s="103"/>
      <c r="F116" s="104"/>
      <c r="G116" s="7"/>
      <c r="H116" s="105"/>
      <c r="I116" s="219"/>
      <c r="J116" s="219"/>
      <c r="K116" s="219"/>
      <c r="L116" s="219"/>
      <c r="M116" s="219"/>
      <c r="N116" s="219"/>
      <c r="O116" s="219"/>
    </row>
    <row r="117" spans="1:15">
      <c r="A117" s="219"/>
      <c r="B117" s="117"/>
      <c r="C117" s="219"/>
      <c r="D117" s="118"/>
      <c r="E117" s="119"/>
      <c r="F117" s="120"/>
      <c r="G117" s="119"/>
      <c r="H117" s="122"/>
      <c r="I117" s="219"/>
      <c r="J117" s="219"/>
      <c r="K117" s="219"/>
      <c r="L117" s="219"/>
      <c r="M117" s="219"/>
      <c r="N117" s="219"/>
      <c r="O117" s="219"/>
    </row>
    <row r="118" spans="1:15">
      <c r="A118" s="219"/>
      <c r="B118" s="117"/>
      <c r="C118" s="219"/>
      <c r="D118" s="99"/>
      <c r="E118" s="100"/>
      <c r="F118" s="101"/>
      <c r="G118" s="121"/>
      <c r="H118" s="102"/>
      <c r="I118" s="219"/>
      <c r="J118" s="219"/>
      <c r="K118" s="219"/>
      <c r="L118" s="219"/>
      <c r="M118" s="219"/>
      <c r="N118" s="219"/>
      <c r="O118" s="219"/>
    </row>
    <row r="119" spans="1:15">
      <c r="A119" s="219"/>
      <c r="B119" s="117"/>
      <c r="C119" s="219"/>
      <c r="D119" s="123"/>
      <c r="E119" s="195"/>
      <c r="F119" s="124"/>
      <c r="G119" s="125"/>
      <c r="H119" s="197"/>
      <c r="I119" s="219"/>
      <c r="J119" s="219"/>
      <c r="K119" s="219"/>
      <c r="L119" s="219"/>
      <c r="M119" s="219"/>
      <c r="N119" s="219"/>
      <c r="O119" s="219"/>
    </row>
    <row r="120" spans="1:15">
      <c r="A120" s="219"/>
      <c r="B120" s="117"/>
      <c r="C120" s="219"/>
      <c r="D120" s="126"/>
      <c r="E120" s="201"/>
      <c r="F120" s="127"/>
      <c r="G120" s="128"/>
      <c r="H120" s="129"/>
      <c r="I120" s="219"/>
      <c r="J120" s="219"/>
      <c r="K120" s="219"/>
      <c r="L120" s="219"/>
      <c r="M120" s="219"/>
      <c r="N120" s="219"/>
      <c r="O120" s="219"/>
    </row>
    <row r="121" spans="1:15">
      <c r="A121" s="219"/>
      <c r="B121" s="117"/>
      <c r="C121" s="219"/>
      <c r="D121" s="99"/>
      <c r="E121" s="100"/>
      <c r="F121" s="101"/>
      <c r="G121" s="121"/>
      <c r="H121" s="102"/>
      <c r="I121" s="219"/>
      <c r="J121" s="219"/>
      <c r="K121" s="219"/>
      <c r="L121" s="219"/>
      <c r="M121" s="219"/>
      <c r="N121" s="219"/>
      <c r="O121" s="219"/>
    </row>
    <row r="122" spans="1:15">
      <c r="A122" s="219"/>
      <c r="B122" s="117"/>
      <c r="C122" s="219"/>
      <c r="D122" s="99"/>
      <c r="E122" s="100"/>
      <c r="F122" s="101"/>
      <c r="G122" s="121"/>
      <c r="H122" s="102"/>
      <c r="I122" s="219"/>
      <c r="J122" s="219"/>
      <c r="K122" s="219"/>
      <c r="L122" s="219"/>
      <c r="M122" s="219"/>
      <c r="N122" s="219"/>
      <c r="O122" s="219"/>
    </row>
    <row r="123" spans="1:15">
      <c r="A123" s="219"/>
      <c r="B123" s="117"/>
      <c r="C123" s="219"/>
      <c r="D123" s="106"/>
      <c r="E123" s="107"/>
      <c r="F123" s="108"/>
      <c r="G123" s="109"/>
      <c r="H123" s="110"/>
      <c r="I123" s="219"/>
      <c r="J123" s="219"/>
      <c r="K123" s="219"/>
      <c r="L123" s="219"/>
      <c r="M123" s="219"/>
      <c r="N123" s="219"/>
      <c r="O123" s="219"/>
    </row>
    <row r="124" spans="1:15">
      <c r="A124" s="219"/>
      <c r="B124" s="117"/>
      <c r="C124" s="219"/>
      <c r="D124" s="130"/>
      <c r="E124" s="131"/>
      <c r="F124" s="132"/>
      <c r="G124" s="133"/>
      <c r="H124" s="134"/>
      <c r="I124" s="219"/>
      <c r="J124" s="219"/>
      <c r="K124" s="219"/>
      <c r="L124" s="219"/>
      <c r="M124" s="219"/>
      <c r="N124" s="219"/>
      <c r="O124" s="219"/>
    </row>
    <row r="125" spans="1:15">
      <c r="A125" s="219"/>
      <c r="B125" s="117"/>
      <c r="C125" s="219"/>
      <c r="D125" s="14"/>
      <c r="E125" s="103"/>
      <c r="F125" s="104"/>
      <c r="G125" s="7"/>
      <c r="H125" s="105"/>
      <c r="I125" s="219"/>
      <c r="J125" s="219"/>
      <c r="K125" s="219"/>
      <c r="L125" s="219"/>
      <c r="M125" s="219"/>
      <c r="N125" s="219"/>
      <c r="O125" s="219"/>
    </row>
    <row r="126" spans="1:15">
      <c r="A126" s="219"/>
      <c r="B126" s="117"/>
      <c r="C126" s="219"/>
      <c r="D126" s="106"/>
      <c r="E126" s="107"/>
      <c r="F126" s="108"/>
      <c r="G126" s="109"/>
      <c r="H126" s="110"/>
      <c r="I126" s="219"/>
      <c r="J126" s="219"/>
      <c r="K126" s="219"/>
      <c r="L126" s="219"/>
      <c r="M126" s="219"/>
      <c r="N126" s="219"/>
      <c r="O126" s="219"/>
    </row>
    <row r="127" spans="1:15">
      <c r="A127" s="219"/>
      <c r="B127" s="117"/>
      <c r="C127" s="219"/>
      <c r="D127" s="135"/>
      <c r="E127" s="173"/>
      <c r="F127" s="136"/>
      <c r="G127" s="177"/>
      <c r="H127" s="137"/>
      <c r="I127" s="219"/>
      <c r="J127" s="219"/>
      <c r="K127" s="219"/>
      <c r="L127" s="219"/>
      <c r="M127" s="219"/>
      <c r="N127" s="219"/>
      <c r="O127" s="219"/>
    </row>
    <row r="128" spans="1:15">
      <c r="A128" s="219"/>
      <c r="B128" s="117"/>
      <c r="C128" s="219"/>
      <c r="D128" s="99"/>
      <c r="E128" s="100"/>
      <c r="F128" s="101"/>
      <c r="G128" s="121"/>
      <c r="H128" s="102"/>
      <c r="I128" s="219"/>
      <c r="J128" s="219"/>
      <c r="K128" s="219"/>
      <c r="L128" s="219"/>
      <c r="M128" s="219"/>
      <c r="N128" s="219"/>
      <c r="O128" s="219"/>
    </row>
    <row r="129" spans="1:15">
      <c r="A129" s="219"/>
      <c r="B129" s="117"/>
      <c r="C129" s="219"/>
      <c r="D129" s="106"/>
      <c r="E129" s="107"/>
      <c r="F129" s="108"/>
      <c r="G129" s="109"/>
      <c r="H129" s="110"/>
      <c r="I129" s="219"/>
      <c r="J129" s="219"/>
      <c r="K129" s="219"/>
      <c r="L129" s="219"/>
      <c r="M129" s="219"/>
      <c r="N129" s="219"/>
      <c r="O129" s="219"/>
    </row>
    <row r="130" spans="1:15">
      <c r="A130" s="219"/>
      <c r="B130" s="117"/>
      <c r="C130" s="219"/>
      <c r="D130" s="181"/>
      <c r="E130" s="138"/>
      <c r="F130" s="185"/>
      <c r="G130" s="139"/>
      <c r="H130" s="188"/>
      <c r="I130" s="219"/>
      <c r="J130" s="219"/>
      <c r="K130" s="219"/>
      <c r="L130" s="219"/>
      <c r="M130" s="219"/>
      <c r="N130" s="219"/>
      <c r="O130" s="219"/>
    </row>
    <row r="131" spans="1:15">
      <c r="A131" s="219"/>
      <c r="B131" s="98"/>
      <c r="C131" s="219"/>
      <c r="D131" s="99"/>
      <c r="E131" s="100"/>
      <c r="F131" s="101"/>
      <c r="G131" s="121"/>
      <c r="H131" s="102"/>
      <c r="I131" s="219"/>
      <c r="J131" s="219"/>
      <c r="K131" s="219"/>
      <c r="L131" s="219"/>
      <c r="M131" s="219"/>
      <c r="N131" s="219"/>
      <c r="O131" s="219"/>
    </row>
    <row r="132" spans="1:15">
      <c r="A132" s="219"/>
      <c r="B132" s="98"/>
      <c r="C132" s="219"/>
      <c r="D132" s="14"/>
      <c r="E132" s="103"/>
      <c r="F132" s="104"/>
      <c r="G132" s="7"/>
      <c r="H132" s="105"/>
      <c r="I132" s="219"/>
      <c r="J132" s="219"/>
      <c r="K132" s="219"/>
      <c r="L132" s="219"/>
      <c r="M132" s="219"/>
      <c r="N132" s="219"/>
      <c r="O132" s="219"/>
    </row>
    <row r="133" spans="1:15">
      <c r="A133" s="219"/>
      <c r="B133" s="98"/>
      <c r="C133" s="219"/>
      <c r="D133" s="99"/>
      <c r="E133" s="100"/>
      <c r="F133" s="101"/>
      <c r="G133" s="121"/>
      <c r="H133" s="102"/>
      <c r="I133" s="219"/>
      <c r="J133" s="219"/>
      <c r="K133" s="219"/>
      <c r="L133" s="219"/>
      <c r="M133" s="219"/>
      <c r="N133" s="219"/>
      <c r="O133" s="219"/>
    </row>
    <row r="134" spans="1:15">
      <c r="A134" s="219"/>
      <c r="B134" s="98"/>
      <c r="C134" s="219"/>
      <c r="D134" s="106"/>
      <c r="E134" s="107"/>
      <c r="F134" s="108"/>
      <c r="G134" s="109"/>
      <c r="H134" s="110"/>
      <c r="I134" s="219"/>
      <c r="J134" s="219"/>
      <c r="K134" s="219"/>
      <c r="L134" s="219"/>
      <c r="M134" s="219"/>
      <c r="N134" s="219"/>
      <c r="O134" s="219"/>
    </row>
    <row r="135" spans="1:15">
      <c r="A135" s="219"/>
      <c r="B135" s="98"/>
      <c r="C135" s="219"/>
      <c r="D135" s="135"/>
      <c r="E135" s="173"/>
      <c r="F135" s="136"/>
      <c r="G135" s="177"/>
      <c r="H135" s="137"/>
      <c r="I135" s="219"/>
      <c r="J135" s="219"/>
      <c r="K135" s="219"/>
      <c r="L135" s="219"/>
      <c r="M135" s="219"/>
      <c r="N135" s="219"/>
      <c r="O135" s="219"/>
    </row>
    <row r="136" spans="1:15">
      <c r="A136" s="219"/>
      <c r="B136" s="98"/>
      <c r="C136" s="219"/>
      <c r="D136" s="106"/>
      <c r="E136" s="107"/>
      <c r="F136" s="108"/>
      <c r="G136" s="109"/>
      <c r="H136" s="110"/>
      <c r="I136" s="219"/>
      <c r="J136" s="219"/>
      <c r="K136" s="219"/>
      <c r="L136" s="219"/>
      <c r="M136" s="219"/>
      <c r="N136" s="219"/>
      <c r="O136" s="219"/>
    </row>
    <row r="137" spans="1:15">
      <c r="A137" s="219"/>
      <c r="B137" s="98"/>
      <c r="C137" s="219"/>
      <c r="D137" s="99"/>
      <c r="E137" s="100"/>
      <c r="F137" s="101"/>
      <c r="G137" s="121"/>
      <c r="H137" s="102"/>
      <c r="I137" s="219"/>
      <c r="J137" s="219"/>
      <c r="K137" s="219"/>
      <c r="L137" s="219"/>
      <c r="M137" s="219"/>
      <c r="N137" s="219"/>
      <c r="O137" s="219"/>
    </row>
    <row r="138" spans="1:15">
      <c r="A138" s="219"/>
      <c r="B138" s="98"/>
      <c r="C138" s="219"/>
      <c r="D138" s="14"/>
      <c r="E138" s="140"/>
      <c r="F138" s="191"/>
      <c r="G138" s="141"/>
      <c r="H138" s="171"/>
      <c r="I138" s="219"/>
      <c r="J138" s="219"/>
      <c r="K138" s="219"/>
      <c r="L138" s="219"/>
      <c r="M138" s="219"/>
      <c r="N138" s="219"/>
      <c r="O138" s="219"/>
    </row>
    <row r="139" spans="1:15">
      <c r="A139" s="219"/>
      <c r="B139" s="98"/>
      <c r="C139" s="219"/>
      <c r="D139" s="99"/>
      <c r="E139" s="100"/>
      <c r="F139" s="101"/>
      <c r="G139" s="121"/>
      <c r="H139" s="102"/>
      <c r="I139" s="219"/>
      <c r="J139" s="219"/>
      <c r="K139" s="219"/>
      <c r="L139" s="219"/>
      <c r="M139" s="219"/>
      <c r="N139" s="219"/>
      <c r="O139" s="219"/>
    </row>
    <row r="140" spans="1:15">
      <c r="A140" s="219"/>
      <c r="B140" s="98"/>
      <c r="C140" s="219"/>
      <c r="D140" s="106"/>
      <c r="E140" s="107"/>
      <c r="F140" s="108"/>
      <c r="G140" s="109"/>
      <c r="H140" s="110"/>
      <c r="I140" s="219"/>
      <c r="J140" s="219"/>
      <c r="K140" s="219"/>
      <c r="L140" s="219"/>
      <c r="M140" s="219"/>
      <c r="N140" s="219"/>
      <c r="O140" s="219"/>
    </row>
    <row r="141" spans="1:15">
      <c r="A141" s="219"/>
      <c r="B141" s="98"/>
      <c r="C141" s="219"/>
      <c r="D141" s="14"/>
      <c r="E141" s="140"/>
      <c r="F141" s="191"/>
      <c r="G141" s="141"/>
      <c r="H141" s="171"/>
      <c r="I141" s="219"/>
      <c r="J141" s="219"/>
      <c r="K141" s="219"/>
      <c r="L141" s="219"/>
      <c r="M141" s="219"/>
      <c r="N141" s="219"/>
      <c r="O141" s="219"/>
    </row>
    <row r="142" spans="1:15">
      <c r="A142" s="219"/>
      <c r="B142" s="98"/>
      <c r="C142" s="219"/>
      <c r="D142" s="135"/>
      <c r="E142" s="173"/>
      <c r="F142" s="136"/>
      <c r="G142" s="177"/>
      <c r="H142" s="137"/>
      <c r="I142" s="219"/>
      <c r="J142" s="219"/>
      <c r="K142" s="219"/>
      <c r="L142" s="219"/>
      <c r="M142" s="219"/>
      <c r="N142" s="219"/>
      <c r="O142" s="219"/>
    </row>
    <row r="143" spans="1:15">
      <c r="A143" s="219"/>
      <c r="B143" s="98"/>
      <c r="C143" s="219"/>
      <c r="D143" s="142"/>
      <c r="E143" s="174"/>
      <c r="F143" s="143"/>
      <c r="G143" s="178"/>
      <c r="H143" s="144"/>
      <c r="I143" s="219"/>
      <c r="J143" s="219"/>
      <c r="K143" s="219"/>
      <c r="L143" s="219"/>
      <c r="M143" s="219"/>
      <c r="N143" s="219"/>
      <c r="O143" s="219"/>
    </row>
    <row r="144" spans="1:15">
      <c r="A144" s="219"/>
      <c r="B144" s="98"/>
      <c r="C144" s="219"/>
      <c r="D144" s="14"/>
      <c r="E144" s="103"/>
      <c r="F144" s="104"/>
      <c r="G144" s="7"/>
      <c r="H144" s="105"/>
      <c r="I144" s="219"/>
      <c r="J144" s="219"/>
      <c r="K144" s="219"/>
      <c r="L144" s="219"/>
      <c r="M144" s="219"/>
      <c r="N144" s="219"/>
      <c r="O144" s="219"/>
    </row>
    <row r="145" spans="1:15">
      <c r="A145" s="219"/>
      <c r="B145" s="98"/>
      <c r="C145" s="219"/>
      <c r="D145" s="99"/>
      <c r="E145" s="100"/>
      <c r="F145" s="101"/>
      <c r="G145" s="121"/>
      <c r="H145" s="102"/>
      <c r="I145" s="219"/>
      <c r="J145" s="219"/>
      <c r="K145" s="219"/>
      <c r="L145" s="219"/>
      <c r="M145" s="219"/>
      <c r="N145" s="219"/>
      <c r="O145" s="219"/>
    </row>
    <row r="146" spans="1:15">
      <c r="A146" s="219"/>
      <c r="B146" s="98"/>
      <c r="C146" s="219"/>
      <c r="D146" s="106"/>
      <c r="E146" s="107"/>
      <c r="F146" s="108"/>
      <c r="G146" s="109"/>
      <c r="H146" s="110"/>
      <c r="I146" s="219"/>
      <c r="J146" s="219"/>
      <c r="K146" s="219"/>
      <c r="L146" s="219"/>
      <c r="M146" s="219"/>
      <c r="N146" s="219"/>
      <c r="O146" s="219"/>
    </row>
    <row r="147" spans="1:15">
      <c r="A147" s="219"/>
      <c r="B147" s="98"/>
      <c r="C147" s="219"/>
      <c r="D147" s="135"/>
      <c r="E147" s="173"/>
      <c r="F147" s="136"/>
      <c r="G147" s="177"/>
      <c r="H147" s="137"/>
      <c r="I147" s="219"/>
      <c r="J147" s="219"/>
      <c r="K147" s="219"/>
      <c r="L147" s="219"/>
      <c r="M147" s="219"/>
      <c r="N147" s="219"/>
      <c r="O147" s="219"/>
    </row>
    <row r="148" spans="1:15">
      <c r="A148" s="219"/>
      <c r="B148" s="98"/>
      <c r="C148" s="219"/>
      <c r="D148" s="14"/>
      <c r="E148" s="103"/>
      <c r="F148" s="104"/>
      <c r="G148" s="7"/>
      <c r="H148" s="105"/>
      <c r="I148" s="219"/>
      <c r="J148" s="219"/>
      <c r="K148" s="219"/>
      <c r="L148" s="219"/>
      <c r="M148" s="219"/>
      <c r="N148" s="219"/>
      <c r="O148" s="219"/>
    </row>
    <row r="149" spans="1:15">
      <c r="A149" s="219"/>
      <c r="B149" s="98"/>
      <c r="C149" s="219"/>
      <c r="D149" s="14"/>
      <c r="E149" s="103"/>
      <c r="F149" s="104"/>
      <c r="G149" s="7"/>
      <c r="H149" s="105"/>
      <c r="I149" s="219"/>
      <c r="J149" s="219"/>
      <c r="K149" s="219"/>
      <c r="L149" s="219"/>
      <c r="M149" s="219"/>
      <c r="N149" s="219"/>
      <c r="O149" s="219"/>
    </row>
    <row r="150" spans="1:15">
      <c r="A150" s="219"/>
      <c r="B150" s="98"/>
      <c r="C150" s="219"/>
      <c r="D150" s="14"/>
      <c r="E150" s="103"/>
      <c r="F150" s="104"/>
      <c r="G150" s="7"/>
      <c r="H150" s="105"/>
      <c r="I150" s="219"/>
      <c r="J150" s="219"/>
      <c r="K150" s="219"/>
      <c r="L150" s="219"/>
      <c r="M150" s="219"/>
      <c r="N150" s="219"/>
      <c r="O150" s="219"/>
    </row>
    <row r="151" spans="1:15">
      <c r="A151" s="219"/>
      <c r="B151" s="98"/>
      <c r="C151" s="219"/>
      <c r="D151" s="99"/>
      <c r="E151" s="100"/>
      <c r="F151" s="101"/>
      <c r="G151" s="121"/>
      <c r="H151" s="102"/>
      <c r="I151" s="219"/>
      <c r="J151" s="219"/>
      <c r="K151" s="219"/>
      <c r="L151" s="219"/>
      <c r="M151" s="219"/>
      <c r="N151" s="219"/>
      <c r="O151" s="219"/>
    </row>
    <row r="152" spans="1:15">
      <c r="A152" s="219"/>
      <c r="B152" s="98"/>
      <c r="C152" s="219"/>
      <c r="D152" s="99"/>
      <c r="E152" s="100"/>
      <c r="F152" s="101"/>
      <c r="G152" s="121"/>
      <c r="H152" s="102"/>
      <c r="I152" s="219"/>
      <c r="J152" s="219"/>
      <c r="K152" s="219"/>
      <c r="L152" s="219"/>
      <c r="M152" s="219"/>
      <c r="N152" s="219"/>
      <c r="O152" s="219"/>
    </row>
    <row r="153" spans="1:15">
      <c r="A153" s="219"/>
      <c r="B153" s="98"/>
      <c r="C153" s="219"/>
      <c r="D153" s="99"/>
      <c r="E153" s="121"/>
      <c r="F153" s="101"/>
      <c r="G153" s="121"/>
      <c r="H153" s="102"/>
      <c r="I153" s="219"/>
      <c r="J153" s="219"/>
      <c r="K153" s="219"/>
      <c r="L153" s="219"/>
      <c r="M153" s="219"/>
      <c r="N153" s="219"/>
      <c r="O153" s="219"/>
    </row>
    <row r="154" spans="1:15">
      <c r="A154" s="219"/>
      <c r="B154" s="98"/>
      <c r="C154" s="219"/>
      <c r="D154" s="99"/>
      <c r="E154" s="100"/>
      <c r="F154" s="101"/>
      <c r="G154" s="121"/>
      <c r="H154" s="102"/>
      <c r="I154" s="219"/>
      <c r="J154" s="219"/>
      <c r="K154" s="219"/>
      <c r="L154" s="219"/>
      <c r="M154" s="219"/>
      <c r="N154" s="219"/>
      <c r="O154" s="219"/>
    </row>
    <row r="155" spans="1:15">
      <c r="A155" s="219"/>
      <c r="B155" s="98"/>
      <c r="C155" s="219"/>
      <c r="D155" s="99"/>
      <c r="E155" s="100"/>
      <c r="F155" s="101"/>
      <c r="G155" s="121"/>
      <c r="H155" s="102"/>
      <c r="I155" s="219"/>
      <c r="J155" s="219"/>
      <c r="K155" s="219"/>
      <c r="L155" s="219"/>
      <c r="M155" s="219"/>
      <c r="N155" s="219"/>
      <c r="O155" s="219"/>
    </row>
    <row r="156" spans="1:15">
      <c r="A156" s="219"/>
      <c r="B156" s="98"/>
      <c r="C156" s="219"/>
      <c r="D156" s="135"/>
      <c r="E156" s="173"/>
      <c r="F156" s="136"/>
      <c r="G156" s="177"/>
      <c r="H156" s="137"/>
      <c r="I156" s="219"/>
      <c r="J156" s="219"/>
      <c r="K156" s="219"/>
      <c r="L156" s="219"/>
      <c r="M156" s="219"/>
      <c r="N156" s="219"/>
      <c r="O156" s="219"/>
    </row>
    <row r="157" spans="1:15" s="12" customFormat="1" ht="14.45" customHeight="1">
      <c r="A157" s="219"/>
      <c r="B157" s="98"/>
      <c r="C157" s="182"/>
      <c r="D157" s="135"/>
      <c r="E157" s="173"/>
      <c r="F157" s="136"/>
      <c r="G157" s="177"/>
      <c r="H157" s="137"/>
      <c r="I157" s="182"/>
      <c r="J157" s="182"/>
      <c r="K157" s="182"/>
      <c r="L157" s="182"/>
      <c r="M157" s="182"/>
      <c r="N157" s="182"/>
      <c r="O157" s="182"/>
    </row>
    <row r="158" spans="1:15">
      <c r="A158" s="219"/>
      <c r="B158" s="98"/>
      <c r="C158" s="219"/>
      <c r="D158" s="99"/>
      <c r="E158" s="100"/>
      <c r="F158" s="101"/>
      <c r="G158" s="121"/>
      <c r="H158" s="102"/>
      <c r="I158" s="219"/>
      <c r="J158" s="219"/>
      <c r="K158" s="219"/>
      <c r="L158" s="219"/>
      <c r="M158" s="219"/>
      <c r="N158" s="219"/>
      <c r="O158" s="219"/>
    </row>
    <row r="159" spans="1:15">
      <c r="A159" s="219"/>
      <c r="B159" s="98"/>
      <c r="C159" s="219"/>
      <c r="D159" s="14"/>
      <c r="E159" s="103"/>
      <c r="F159" s="104"/>
      <c r="G159" s="7"/>
      <c r="H159" s="105"/>
      <c r="I159" s="219"/>
      <c r="J159" s="219"/>
      <c r="K159" s="219"/>
      <c r="L159" s="219"/>
      <c r="M159" s="219"/>
      <c r="N159" s="219"/>
      <c r="O159" s="219"/>
    </row>
    <row r="160" spans="1:15">
      <c r="A160" s="219"/>
      <c r="B160" s="98"/>
      <c r="C160" s="219"/>
      <c r="D160" s="106"/>
      <c r="E160" s="107"/>
      <c r="F160" s="108"/>
      <c r="G160" s="109"/>
      <c r="H160" s="110"/>
      <c r="I160" s="219"/>
      <c r="J160" s="219"/>
      <c r="K160" s="219"/>
      <c r="L160" s="219"/>
      <c r="M160" s="219"/>
      <c r="N160" s="219"/>
      <c r="O160" s="219"/>
    </row>
    <row r="161" spans="1:15">
      <c r="A161" s="219"/>
      <c r="B161" s="98"/>
      <c r="C161" s="219"/>
      <c r="D161" s="99"/>
      <c r="E161" s="100"/>
      <c r="F161" s="101"/>
      <c r="G161" s="121"/>
      <c r="H161" s="102"/>
      <c r="I161" s="219"/>
      <c r="J161" s="219"/>
      <c r="K161" s="219"/>
      <c r="L161" s="219"/>
      <c r="M161" s="219"/>
      <c r="N161" s="219"/>
      <c r="O161" s="219"/>
    </row>
    <row r="162" spans="1:15">
      <c r="A162" s="219"/>
      <c r="B162" s="98"/>
      <c r="C162" s="219"/>
      <c r="D162" s="14"/>
      <c r="E162" s="140"/>
      <c r="F162" s="191"/>
      <c r="G162" s="141"/>
      <c r="H162" s="171"/>
      <c r="I162" s="219"/>
      <c r="J162" s="219"/>
      <c r="K162" s="219"/>
      <c r="L162" s="219"/>
      <c r="M162" s="219"/>
      <c r="N162" s="219"/>
      <c r="O162" s="219"/>
    </row>
    <row r="163" spans="1:15">
      <c r="A163" s="219"/>
      <c r="B163" s="98"/>
      <c r="C163" s="219"/>
      <c r="D163" s="142"/>
      <c r="E163" s="174"/>
      <c r="F163" s="143"/>
      <c r="G163" s="178"/>
      <c r="H163" s="144"/>
      <c r="I163" s="219"/>
      <c r="J163" s="219"/>
      <c r="K163" s="219"/>
      <c r="L163" s="219"/>
      <c r="M163" s="219"/>
      <c r="N163" s="219"/>
      <c r="O163" s="219"/>
    </row>
    <row r="164" spans="1:15">
      <c r="A164" s="219"/>
      <c r="B164" s="98"/>
      <c r="C164" s="219"/>
      <c r="D164" s="186"/>
      <c r="E164" s="145"/>
      <c r="F164" s="189"/>
      <c r="G164" s="146"/>
      <c r="H164" s="147"/>
      <c r="I164" s="219"/>
      <c r="J164" s="219"/>
      <c r="K164" s="219"/>
      <c r="L164" s="219"/>
      <c r="M164" s="219"/>
      <c r="N164" s="219"/>
      <c r="O164" s="219"/>
    </row>
    <row r="165" spans="1:15">
      <c r="A165" s="219"/>
      <c r="B165" s="98"/>
      <c r="C165" s="219"/>
      <c r="D165" s="135"/>
      <c r="E165" s="173"/>
      <c r="F165" s="136"/>
      <c r="G165" s="177"/>
      <c r="H165" s="137"/>
      <c r="I165" s="219"/>
      <c r="J165" s="219"/>
      <c r="K165" s="219"/>
      <c r="L165" s="219"/>
      <c r="M165" s="219"/>
      <c r="N165" s="219"/>
      <c r="O165" s="219"/>
    </row>
    <row r="166" spans="1:15">
      <c r="A166" s="219"/>
      <c r="B166" s="98"/>
      <c r="C166" s="219"/>
      <c r="D166" s="99"/>
      <c r="E166" s="100"/>
      <c r="F166" s="101"/>
      <c r="G166" s="121"/>
      <c r="H166" s="102"/>
      <c r="I166" s="219"/>
      <c r="J166" s="219"/>
      <c r="K166" s="219"/>
      <c r="L166" s="219"/>
      <c r="M166" s="219"/>
      <c r="N166" s="219"/>
      <c r="O166" s="219"/>
    </row>
    <row r="167" spans="1:15">
      <c r="A167" s="219"/>
      <c r="B167" s="98"/>
      <c r="C167" s="219"/>
      <c r="D167" s="99"/>
      <c r="E167" s="100"/>
      <c r="F167" s="101"/>
      <c r="G167" s="121"/>
      <c r="H167" s="102"/>
      <c r="I167" s="219"/>
      <c r="J167" s="219"/>
      <c r="K167" s="219"/>
      <c r="L167" s="219"/>
      <c r="M167" s="219"/>
      <c r="N167" s="219"/>
      <c r="O167" s="219"/>
    </row>
    <row r="168" spans="1:15">
      <c r="A168" s="219"/>
      <c r="B168" s="98"/>
      <c r="C168" s="219"/>
      <c r="D168" s="14"/>
      <c r="E168" s="103"/>
      <c r="F168" s="104"/>
      <c r="G168" s="7"/>
      <c r="H168" s="105"/>
      <c r="I168" s="219"/>
      <c r="J168" s="219"/>
      <c r="K168" s="219"/>
      <c r="L168" s="219"/>
      <c r="M168" s="219"/>
      <c r="N168" s="219"/>
      <c r="O168" s="219"/>
    </row>
    <row r="169" spans="1:15">
      <c r="A169" s="219"/>
      <c r="B169" s="98"/>
      <c r="C169" s="219"/>
      <c r="D169" s="8"/>
      <c r="E169" s="148"/>
      <c r="F169" s="149"/>
      <c r="G169" s="175"/>
      <c r="H169" s="150"/>
      <c r="I169" s="219"/>
      <c r="J169" s="219"/>
      <c r="K169" s="219"/>
      <c r="L169" s="219"/>
      <c r="M169" s="219"/>
      <c r="N169" s="219"/>
      <c r="O169" s="219"/>
    </row>
    <row r="170" spans="1:15">
      <c r="A170" s="219"/>
      <c r="B170" s="98"/>
      <c r="C170" s="219"/>
      <c r="D170" s="99"/>
      <c r="E170" s="100"/>
      <c r="F170" s="101"/>
      <c r="G170" s="121"/>
      <c r="H170" s="102"/>
      <c r="I170" s="219"/>
      <c r="J170" s="219"/>
      <c r="K170" s="219"/>
      <c r="L170" s="219"/>
      <c r="M170" s="219"/>
      <c r="N170" s="219"/>
      <c r="O170" s="219"/>
    </row>
    <row r="171" spans="1:15">
      <c r="A171" s="219"/>
      <c r="B171" s="98"/>
      <c r="C171" s="219"/>
      <c r="D171" s="106"/>
      <c r="E171" s="107"/>
      <c r="F171" s="108"/>
      <c r="G171" s="109"/>
      <c r="H171" s="110"/>
      <c r="I171" s="219"/>
      <c r="J171" s="219"/>
      <c r="K171" s="219"/>
      <c r="L171" s="219"/>
      <c r="M171" s="219"/>
      <c r="N171" s="219"/>
      <c r="O171" s="219"/>
    </row>
    <row r="172" spans="1:15">
      <c r="A172" s="219"/>
      <c r="B172" s="98"/>
      <c r="C172" s="219"/>
      <c r="D172" s="135"/>
      <c r="E172" s="173"/>
      <c r="F172" s="136"/>
      <c r="G172" s="177"/>
      <c r="H172" s="137"/>
      <c r="I172" s="219"/>
      <c r="J172" s="219"/>
      <c r="K172" s="219"/>
      <c r="L172" s="219"/>
      <c r="M172" s="219"/>
      <c r="N172" s="219"/>
      <c r="O172" s="219"/>
    </row>
    <row r="173" spans="1:15">
      <c r="A173" s="219"/>
      <c r="B173" s="98"/>
      <c r="C173" s="219"/>
      <c r="D173" s="99"/>
      <c r="E173" s="100"/>
      <c r="F173" s="101"/>
      <c r="G173" s="121"/>
      <c r="H173" s="102"/>
      <c r="I173" s="219"/>
      <c r="J173" s="219"/>
      <c r="K173" s="219"/>
      <c r="L173" s="219"/>
      <c r="M173" s="219"/>
      <c r="N173" s="219"/>
      <c r="O173" s="219"/>
    </row>
    <row r="174" spans="1:15">
      <c r="A174" s="219"/>
      <c r="B174" s="98"/>
      <c r="C174" s="219"/>
      <c r="D174" s="135"/>
      <c r="E174" s="173"/>
      <c r="F174" s="136"/>
      <c r="G174" s="177"/>
      <c r="H174" s="137"/>
      <c r="I174" s="219"/>
      <c r="J174" s="219"/>
      <c r="K174" s="219"/>
      <c r="L174" s="219"/>
      <c r="M174" s="219"/>
      <c r="N174" s="219"/>
      <c r="O174" s="219"/>
    </row>
    <row r="175" spans="1:15">
      <c r="A175" s="219"/>
      <c r="B175" s="98"/>
      <c r="C175" s="219"/>
      <c r="D175" s="99"/>
      <c r="E175" s="100"/>
      <c r="F175" s="101"/>
      <c r="G175" s="121"/>
      <c r="H175" s="102"/>
      <c r="I175" s="219"/>
      <c r="J175" s="219"/>
      <c r="K175" s="219"/>
      <c r="L175" s="219"/>
      <c r="M175" s="219"/>
      <c r="N175" s="219"/>
      <c r="O175" s="219"/>
    </row>
    <row r="176" spans="1:15">
      <c r="A176" s="219"/>
      <c r="B176" s="98"/>
      <c r="C176" s="219"/>
      <c r="D176" s="179"/>
      <c r="E176" s="151"/>
      <c r="F176" s="152"/>
      <c r="G176" s="183"/>
      <c r="H176" s="153"/>
      <c r="I176" s="219"/>
      <c r="J176" s="219"/>
      <c r="K176" s="219"/>
      <c r="L176" s="219"/>
      <c r="M176" s="219"/>
      <c r="N176" s="219"/>
      <c r="O176" s="219"/>
    </row>
    <row r="177" spans="1:15">
      <c r="A177" s="219"/>
      <c r="B177" s="98"/>
      <c r="C177" s="219"/>
      <c r="D177" s="181"/>
      <c r="E177" s="138"/>
      <c r="F177" s="185"/>
      <c r="G177" s="139"/>
      <c r="H177" s="188"/>
      <c r="I177" s="219"/>
      <c r="J177" s="219"/>
      <c r="K177" s="219"/>
      <c r="L177" s="219"/>
      <c r="M177" s="219"/>
      <c r="N177" s="219"/>
      <c r="O177" s="219"/>
    </row>
    <row r="178" spans="1:15">
      <c r="A178" s="219"/>
      <c r="B178" s="98"/>
      <c r="C178" s="219"/>
      <c r="D178" s="142"/>
      <c r="E178" s="174"/>
      <c r="F178" s="143"/>
      <c r="G178" s="16"/>
      <c r="H178" s="21"/>
      <c r="I178" s="219"/>
      <c r="J178" s="219"/>
      <c r="K178" s="219"/>
      <c r="L178" s="219"/>
      <c r="M178" s="219"/>
      <c r="N178" s="219"/>
      <c r="O178" s="219"/>
    </row>
    <row r="179" spans="1:15">
      <c r="A179" s="219"/>
      <c r="B179" s="98"/>
      <c r="C179" s="219"/>
      <c r="D179" s="154"/>
      <c r="E179" s="119"/>
      <c r="F179" s="120"/>
      <c r="G179" s="16"/>
      <c r="H179" s="21"/>
      <c r="I179" s="219"/>
      <c r="J179" s="219"/>
      <c r="K179" s="219"/>
      <c r="L179" s="219"/>
      <c r="M179" s="219"/>
      <c r="N179" s="219"/>
      <c r="O179" s="219"/>
    </row>
    <row r="180" spans="1:15">
      <c r="A180" s="219"/>
      <c r="B180" s="98"/>
      <c r="C180" s="219"/>
      <c r="D180" s="99"/>
      <c r="E180" s="100"/>
      <c r="F180" s="101"/>
      <c r="G180" s="121"/>
      <c r="H180" s="102"/>
      <c r="I180" s="219"/>
      <c r="J180" s="219"/>
      <c r="K180" s="219"/>
      <c r="L180" s="219"/>
      <c r="M180" s="219"/>
      <c r="N180" s="219"/>
      <c r="O180" s="219"/>
    </row>
    <row r="181" spans="1:15">
      <c r="A181" s="219"/>
      <c r="B181" s="98"/>
      <c r="C181" s="219"/>
      <c r="D181" s="14"/>
      <c r="E181" s="103"/>
      <c r="F181" s="104"/>
      <c r="G181" s="7"/>
      <c r="H181" s="105"/>
      <c r="I181" s="219"/>
      <c r="J181" s="219"/>
      <c r="K181" s="219"/>
      <c r="L181" s="219"/>
      <c r="M181" s="219"/>
      <c r="N181" s="219"/>
      <c r="O181" s="219"/>
    </row>
    <row r="182" spans="1:15">
      <c r="A182" s="219"/>
      <c r="B182" s="98"/>
      <c r="C182" s="219"/>
      <c r="D182" s="190"/>
      <c r="E182" s="155"/>
      <c r="F182" s="156"/>
      <c r="G182" s="157"/>
      <c r="H182" s="158"/>
      <c r="I182" s="219"/>
      <c r="J182" s="219"/>
      <c r="K182" s="219"/>
      <c r="L182" s="219"/>
      <c r="M182" s="219"/>
      <c r="N182" s="219"/>
      <c r="O182" s="219"/>
    </row>
    <row r="183" spans="1:15">
      <c r="A183" s="219"/>
      <c r="B183" s="98"/>
      <c r="C183" s="219"/>
      <c r="D183" s="99"/>
      <c r="E183" s="100"/>
      <c r="F183" s="101"/>
      <c r="G183" s="121"/>
      <c r="H183" s="102"/>
      <c r="I183" s="219"/>
      <c r="J183" s="219"/>
      <c r="K183" s="219"/>
      <c r="L183" s="219"/>
      <c r="M183" s="219"/>
      <c r="N183" s="219"/>
      <c r="O183" s="219"/>
    </row>
    <row r="184" spans="1:15">
      <c r="A184" s="219"/>
      <c r="B184" s="98"/>
      <c r="C184" s="219"/>
      <c r="D184" s="99"/>
      <c r="E184" s="100"/>
      <c r="F184" s="101"/>
      <c r="G184" s="121"/>
      <c r="H184" s="102"/>
      <c r="I184" s="219"/>
      <c r="J184" s="219"/>
      <c r="K184" s="219"/>
      <c r="L184" s="219"/>
      <c r="M184" s="219"/>
      <c r="N184" s="219"/>
      <c r="O184" s="219"/>
    </row>
    <row r="185" spans="1:15">
      <c r="A185" s="219"/>
      <c r="B185" s="98"/>
      <c r="C185" s="219"/>
      <c r="D185" s="106"/>
      <c r="E185" s="107"/>
      <c r="F185" s="108"/>
      <c r="G185" s="109"/>
      <c r="H185" s="110"/>
      <c r="I185" s="219"/>
      <c r="J185" s="219"/>
      <c r="K185" s="219"/>
      <c r="L185" s="219"/>
      <c r="M185" s="219"/>
      <c r="N185" s="219"/>
      <c r="O185" s="219"/>
    </row>
    <row r="186" spans="1:15">
      <c r="A186" s="219"/>
      <c r="B186" s="98"/>
      <c r="C186" s="219"/>
      <c r="D186" s="135"/>
      <c r="E186" s="173"/>
      <c r="F186" s="136"/>
      <c r="G186" s="177"/>
      <c r="H186" s="137"/>
      <c r="I186" s="219"/>
      <c r="J186" s="219"/>
      <c r="K186" s="219"/>
      <c r="L186" s="219"/>
      <c r="M186" s="219"/>
      <c r="N186" s="219"/>
      <c r="O186" s="219"/>
    </row>
    <row r="187" spans="1:15">
      <c r="A187" s="219"/>
      <c r="B187" s="98"/>
      <c r="C187" s="219"/>
      <c r="D187" s="14"/>
      <c r="E187" s="140"/>
      <c r="F187" s="191"/>
      <c r="G187" s="141"/>
      <c r="H187" s="171"/>
      <c r="I187" s="219"/>
      <c r="J187" s="219"/>
      <c r="K187" s="219"/>
      <c r="L187" s="219"/>
      <c r="M187" s="219"/>
      <c r="N187" s="219"/>
      <c r="O187" s="219"/>
    </row>
    <row r="188" spans="1:15">
      <c r="A188" s="219"/>
      <c r="B188" s="98"/>
      <c r="C188" s="219"/>
      <c r="D188" s="14"/>
      <c r="E188" s="103"/>
      <c r="F188" s="104"/>
      <c r="G188" s="7"/>
      <c r="H188" s="105"/>
      <c r="I188" s="219"/>
      <c r="J188" s="219"/>
      <c r="K188" s="219"/>
      <c r="L188" s="219"/>
      <c r="M188" s="219"/>
      <c r="N188" s="219"/>
      <c r="O188" s="219"/>
    </row>
    <row r="189" spans="1:15">
      <c r="A189" s="219"/>
      <c r="B189" s="98"/>
      <c r="C189" s="219"/>
      <c r="D189" s="14"/>
      <c r="E189" s="103"/>
      <c r="F189" s="104"/>
      <c r="G189" s="7"/>
      <c r="H189" s="105"/>
      <c r="I189" s="219"/>
      <c r="J189" s="219"/>
      <c r="K189" s="219"/>
      <c r="L189" s="219"/>
      <c r="M189" s="219"/>
      <c r="N189" s="219"/>
      <c r="O189" s="219"/>
    </row>
    <row r="190" spans="1:15">
      <c r="A190" s="219"/>
      <c r="B190" s="98"/>
      <c r="C190" s="219"/>
      <c r="D190" s="172"/>
      <c r="E190" s="159"/>
      <c r="F190" s="160"/>
      <c r="G190" s="176"/>
      <c r="H190" s="161"/>
      <c r="I190" s="219"/>
      <c r="J190" s="219"/>
      <c r="K190" s="219"/>
      <c r="L190" s="219"/>
      <c r="M190" s="219"/>
      <c r="N190" s="219"/>
      <c r="O190" s="219"/>
    </row>
    <row r="191" spans="1:15">
      <c r="A191" s="219"/>
      <c r="B191" s="98"/>
      <c r="C191" s="219"/>
      <c r="D191" s="14"/>
      <c r="E191" s="103"/>
      <c r="F191" s="104"/>
      <c r="G191" s="7"/>
      <c r="H191" s="105"/>
      <c r="I191" s="219"/>
      <c r="J191" s="219"/>
      <c r="K191" s="219"/>
      <c r="L191" s="219"/>
      <c r="M191" s="219"/>
      <c r="N191" s="219"/>
      <c r="O191" s="219"/>
    </row>
    <row r="192" spans="1:15">
      <c r="A192" s="219"/>
      <c r="B192" s="98"/>
      <c r="C192" s="219"/>
      <c r="D192" s="99"/>
      <c r="E192" s="100"/>
      <c r="F192" s="101"/>
      <c r="G192" s="121"/>
      <c r="H192" s="102"/>
      <c r="I192" s="219"/>
      <c r="J192" s="219"/>
      <c r="K192" s="219"/>
      <c r="L192" s="219"/>
      <c r="M192" s="219"/>
      <c r="N192" s="219"/>
      <c r="O192" s="219"/>
    </row>
    <row r="193" spans="1:15">
      <c r="A193" s="219"/>
      <c r="B193" s="98"/>
      <c r="C193" s="219"/>
      <c r="D193" s="106"/>
      <c r="E193" s="107"/>
      <c r="F193" s="108"/>
      <c r="G193" s="109"/>
      <c r="H193" s="110"/>
      <c r="I193" s="219"/>
      <c r="J193" s="219"/>
      <c r="K193" s="219"/>
      <c r="L193" s="219"/>
      <c r="M193" s="219"/>
      <c r="N193" s="219"/>
      <c r="O193" s="219"/>
    </row>
    <row r="194" spans="1:15">
      <c r="A194" s="219"/>
      <c r="B194" s="98"/>
      <c r="C194" s="219"/>
      <c r="D194" s="135"/>
      <c r="E194" s="173"/>
      <c r="F194" s="136"/>
      <c r="G194" s="177"/>
      <c r="H194" s="137"/>
      <c r="I194" s="219"/>
      <c r="J194" s="219"/>
      <c r="K194" s="219"/>
      <c r="L194" s="219"/>
      <c r="M194" s="219"/>
      <c r="N194" s="219"/>
      <c r="O194" s="219"/>
    </row>
    <row r="195" spans="1:15">
      <c r="A195" s="219"/>
      <c r="B195" s="98"/>
      <c r="C195" s="219"/>
      <c r="D195" s="106"/>
      <c r="E195" s="107"/>
      <c r="F195" s="108"/>
      <c r="G195" s="109"/>
      <c r="H195" s="110"/>
      <c r="I195" s="219"/>
      <c r="J195" s="219"/>
      <c r="K195" s="219"/>
      <c r="L195" s="219"/>
      <c r="M195" s="219"/>
      <c r="N195" s="219"/>
      <c r="O195" s="219"/>
    </row>
    <row r="196" spans="1:15">
      <c r="A196" s="219"/>
      <c r="B196" s="98"/>
      <c r="C196" s="219"/>
      <c r="D196" s="219"/>
      <c r="E196" s="219"/>
      <c r="F196" s="219"/>
      <c r="G196" s="219"/>
      <c r="H196" s="219"/>
      <c r="I196" s="219"/>
      <c r="J196" s="219"/>
      <c r="K196" s="219"/>
      <c r="L196" s="219"/>
      <c r="M196" s="219"/>
      <c r="N196" s="219"/>
      <c r="O196" s="219"/>
    </row>
    <row r="197" spans="1:15">
      <c r="A197" s="219"/>
      <c r="B197" s="98"/>
      <c r="C197" s="219"/>
      <c r="D197" s="219"/>
      <c r="E197" s="219"/>
      <c r="F197" s="219"/>
      <c r="G197" s="219"/>
      <c r="H197" s="162"/>
      <c r="I197" s="219"/>
      <c r="J197" s="219"/>
      <c r="K197" s="219"/>
      <c r="L197" s="219"/>
      <c r="M197" s="219"/>
      <c r="N197" s="219"/>
      <c r="O197" s="219"/>
    </row>
    <row r="198" spans="1:15">
      <c r="A198" s="219"/>
      <c r="B198" s="98"/>
      <c r="C198" s="219"/>
      <c r="D198" s="219"/>
      <c r="E198" s="219"/>
      <c r="F198" s="219"/>
      <c r="G198" s="219"/>
      <c r="H198" s="219"/>
      <c r="I198" s="219"/>
      <c r="J198" s="219"/>
      <c r="K198" s="219"/>
      <c r="L198" s="219"/>
      <c r="M198" s="219"/>
      <c r="N198" s="219"/>
      <c r="O198" s="219"/>
    </row>
    <row r="199" spans="1:15">
      <c r="A199" s="219"/>
      <c r="B199" s="98"/>
      <c r="C199" s="219"/>
      <c r="D199" s="219"/>
      <c r="E199" s="219"/>
      <c r="F199" s="219"/>
      <c r="G199" s="219"/>
      <c r="H199" s="180"/>
      <c r="I199" s="219"/>
      <c r="J199" s="219"/>
      <c r="K199" s="219"/>
      <c r="L199" s="219"/>
      <c r="M199" s="219"/>
      <c r="N199" s="219"/>
      <c r="O199" s="219"/>
    </row>
    <row r="200" spans="1:15">
      <c r="A200" s="219"/>
      <c r="B200" s="98"/>
      <c r="C200" s="219"/>
      <c r="D200" s="219"/>
      <c r="E200" s="219"/>
      <c r="F200" s="219"/>
      <c r="G200" s="219"/>
      <c r="H200" s="219"/>
      <c r="I200" s="219"/>
      <c r="J200" s="219"/>
      <c r="K200" s="219"/>
      <c r="L200" s="219"/>
      <c r="M200" s="219"/>
      <c r="N200" s="219"/>
      <c r="O200" s="219"/>
    </row>
    <row r="201" spans="1:15">
      <c r="A201" s="219"/>
      <c r="B201" s="98"/>
      <c r="C201" s="219"/>
      <c r="D201" s="219"/>
      <c r="E201" s="219"/>
      <c r="F201" s="219"/>
      <c r="G201" s="219"/>
      <c r="H201" s="219"/>
      <c r="I201" s="219"/>
      <c r="J201" s="219"/>
      <c r="K201" s="219"/>
      <c r="L201" s="219"/>
      <c r="M201" s="219"/>
      <c r="N201" s="219"/>
      <c r="O201" s="219"/>
    </row>
    <row r="202" spans="1:15">
      <c r="A202" s="219"/>
      <c r="B202" s="98"/>
      <c r="C202" s="219"/>
      <c r="D202" s="219"/>
      <c r="E202" s="219"/>
      <c r="F202" s="219"/>
      <c r="G202" s="219"/>
      <c r="H202" s="219"/>
      <c r="I202" s="219"/>
      <c r="J202" s="219"/>
      <c r="K202" s="219"/>
      <c r="L202" s="219"/>
      <c r="M202" s="219"/>
      <c r="N202" s="219"/>
      <c r="O202" s="219"/>
    </row>
    <row r="203" spans="1:15">
      <c r="A203" s="219"/>
      <c r="B203" s="98"/>
      <c r="C203" s="219"/>
      <c r="D203" s="219"/>
      <c r="E203" s="219"/>
      <c r="F203" s="219"/>
      <c r="G203" s="219"/>
      <c r="H203" s="219"/>
      <c r="I203" s="219"/>
      <c r="J203" s="219"/>
      <c r="K203" s="219"/>
      <c r="L203" s="219"/>
      <c r="M203" s="219"/>
      <c r="N203" s="219"/>
      <c r="O203" s="219"/>
    </row>
    <row r="204" spans="1:15">
      <c r="A204" s="219"/>
      <c r="B204" s="98"/>
      <c r="C204" s="219"/>
      <c r="D204" s="219"/>
      <c r="E204" s="219"/>
      <c r="F204" s="219"/>
      <c r="G204" s="219"/>
      <c r="H204" s="219"/>
      <c r="I204" s="219"/>
      <c r="J204" s="219"/>
      <c r="K204" s="219"/>
      <c r="L204" s="219"/>
      <c r="M204" s="219"/>
      <c r="N204" s="219"/>
      <c r="O204" s="219"/>
    </row>
    <row r="205" spans="1:15">
      <c r="A205" s="219"/>
      <c r="B205" s="98"/>
      <c r="C205" s="219"/>
      <c r="D205" s="219"/>
      <c r="E205" s="219"/>
      <c r="F205" s="219"/>
      <c r="G205" s="219"/>
      <c r="H205" s="219"/>
      <c r="I205" s="219"/>
      <c r="J205" s="219"/>
      <c r="K205" s="219"/>
      <c r="L205" s="219"/>
      <c r="M205" s="219"/>
      <c r="N205" s="219"/>
      <c r="O205" s="219"/>
    </row>
    <row r="206" spans="1:15">
      <c r="A206" s="219"/>
      <c r="B206" s="98"/>
      <c r="C206" s="219"/>
      <c r="D206" s="219"/>
      <c r="E206" s="219"/>
      <c r="F206" s="219"/>
      <c r="G206" s="219"/>
      <c r="H206" s="219"/>
      <c r="I206" s="219"/>
      <c r="J206" s="219"/>
      <c r="K206" s="219"/>
      <c r="L206" s="219"/>
      <c r="M206" s="219"/>
      <c r="N206" s="219"/>
      <c r="O206" s="219"/>
    </row>
    <row r="207" spans="1:15">
      <c r="A207" s="219"/>
      <c r="B207" s="98"/>
      <c r="C207" s="219"/>
      <c r="D207" s="219"/>
      <c r="E207" s="219"/>
      <c r="F207" s="219"/>
      <c r="G207" s="219"/>
      <c r="H207" s="219"/>
      <c r="I207" s="219"/>
      <c r="J207" s="219"/>
      <c r="K207" s="219"/>
      <c r="L207" s="219"/>
      <c r="M207" s="219"/>
      <c r="N207" s="219"/>
      <c r="O207" s="219"/>
    </row>
    <row r="208" spans="1:15">
      <c r="A208" s="219"/>
      <c r="B208" s="98"/>
      <c r="C208" s="219"/>
      <c r="D208" s="219"/>
      <c r="E208" s="219"/>
      <c r="F208" s="219"/>
      <c r="G208" s="219"/>
      <c r="H208" s="219"/>
      <c r="I208" s="219"/>
      <c r="J208" s="219"/>
      <c r="K208" s="219"/>
      <c r="L208" s="219"/>
      <c r="M208" s="219"/>
      <c r="N208" s="219"/>
      <c r="O208" s="219"/>
    </row>
    <row r="209" spans="1:15">
      <c r="A209" s="219"/>
      <c r="B209" s="98"/>
      <c r="C209" s="219"/>
      <c r="D209" s="219"/>
      <c r="E209" s="219"/>
      <c r="F209" s="219"/>
      <c r="G209" s="219"/>
      <c r="H209" s="219"/>
      <c r="I209" s="219"/>
      <c r="J209" s="219"/>
      <c r="K209" s="219"/>
      <c r="L209" s="219"/>
      <c r="M209" s="219"/>
      <c r="N209" s="219"/>
      <c r="O209" s="219"/>
    </row>
    <row r="210" spans="1:15">
      <c r="A210" s="219"/>
      <c r="B210" s="98"/>
      <c r="C210" s="219"/>
      <c r="D210" s="219"/>
      <c r="E210" s="219"/>
      <c r="F210" s="219"/>
      <c r="G210" s="219"/>
      <c r="H210" s="219"/>
      <c r="I210" s="219"/>
      <c r="J210" s="219"/>
      <c r="K210" s="219"/>
      <c r="L210" s="219"/>
      <c r="M210" s="219"/>
      <c r="N210" s="219"/>
      <c r="O210" s="219"/>
    </row>
    <row r="211" spans="1:15">
      <c r="A211" s="219"/>
      <c r="B211" s="98"/>
      <c r="C211" s="219"/>
      <c r="D211" s="219"/>
      <c r="E211" s="219"/>
      <c r="F211" s="219"/>
      <c r="G211" s="219"/>
      <c r="H211" s="219"/>
      <c r="I211" s="219"/>
      <c r="J211" s="219"/>
      <c r="K211" s="219"/>
      <c r="L211" s="219"/>
      <c r="M211" s="219"/>
      <c r="N211" s="219"/>
      <c r="O211" s="219"/>
    </row>
    <row r="212" spans="1:15">
      <c r="A212" s="219"/>
      <c r="B212" s="98"/>
      <c r="C212" s="219"/>
      <c r="D212" s="219"/>
      <c r="E212" s="219"/>
      <c r="F212" s="219"/>
      <c r="G212" s="219"/>
      <c r="H212" s="219"/>
      <c r="I212" s="219"/>
      <c r="J212" s="219"/>
      <c r="K212" s="219"/>
      <c r="L212" s="219"/>
      <c r="M212" s="219"/>
      <c r="N212" s="219"/>
      <c r="O212" s="219"/>
    </row>
    <row r="213" spans="1:15">
      <c r="A213" s="219"/>
      <c r="B213" s="98"/>
      <c r="C213" s="219"/>
      <c r="D213" s="219"/>
      <c r="E213" s="219"/>
      <c r="F213" s="219"/>
      <c r="G213" s="219"/>
      <c r="H213" s="219"/>
      <c r="I213" s="219"/>
      <c r="J213" s="219"/>
      <c r="K213" s="219"/>
      <c r="L213" s="219"/>
      <c r="M213" s="219"/>
      <c r="N213" s="219"/>
      <c r="O213" s="219"/>
    </row>
    <row r="214" spans="1:15">
      <c r="A214" s="219"/>
      <c r="B214" s="98"/>
      <c r="C214" s="219"/>
      <c r="D214" s="219"/>
      <c r="E214" s="219"/>
      <c r="F214" s="219"/>
      <c r="G214" s="219"/>
      <c r="H214" s="219"/>
      <c r="I214" s="219"/>
      <c r="J214" s="219"/>
      <c r="K214" s="219"/>
      <c r="L214" s="219"/>
      <c r="M214" s="219"/>
      <c r="N214" s="219"/>
      <c r="O214" s="219"/>
    </row>
    <row r="215" spans="1:15">
      <c r="A215" s="219"/>
      <c r="B215" s="98"/>
      <c r="C215" s="219"/>
      <c r="D215" s="219"/>
      <c r="E215" s="219"/>
      <c r="F215" s="219"/>
      <c r="G215" s="219"/>
      <c r="H215" s="219"/>
      <c r="I215" s="219"/>
      <c r="J215" s="219"/>
      <c r="K215" s="219"/>
      <c r="L215" s="219"/>
      <c r="M215" s="219"/>
      <c r="N215" s="219"/>
      <c r="O215" s="219"/>
    </row>
    <row r="216" spans="1:15">
      <c r="A216" s="219"/>
      <c r="B216" s="98"/>
      <c r="C216" s="219"/>
      <c r="D216" s="219"/>
      <c r="E216" s="219"/>
      <c r="F216" s="219"/>
      <c r="G216" s="219"/>
      <c r="H216" s="219"/>
      <c r="I216" s="219"/>
      <c r="J216" s="219"/>
      <c r="K216" s="219"/>
      <c r="L216" s="219"/>
      <c r="M216" s="219"/>
      <c r="N216" s="219"/>
      <c r="O216" s="219"/>
    </row>
    <row r="217" spans="1:15">
      <c r="A217" s="219"/>
      <c r="B217" s="98"/>
      <c r="C217" s="219"/>
      <c r="D217" s="219"/>
      <c r="E217" s="219"/>
      <c r="F217" s="219"/>
      <c r="G217" s="219"/>
      <c r="H217" s="219"/>
      <c r="I217" s="219"/>
      <c r="J217" s="219"/>
      <c r="K217" s="219"/>
      <c r="L217" s="219"/>
      <c r="M217" s="219"/>
      <c r="N217" s="219"/>
      <c r="O217" s="219"/>
    </row>
    <row r="218" spans="1:15">
      <c r="A218" s="219"/>
      <c r="B218" s="98"/>
      <c r="C218" s="219"/>
      <c r="D218" s="219"/>
      <c r="E218" s="219"/>
      <c r="F218" s="219"/>
      <c r="G218" s="219"/>
      <c r="H218" s="219"/>
      <c r="I218" s="219"/>
      <c r="J218" s="219"/>
      <c r="K218" s="219"/>
      <c r="L218" s="219"/>
      <c r="M218" s="219"/>
      <c r="N218" s="219"/>
      <c r="O218" s="219"/>
    </row>
    <row r="219" spans="1:15">
      <c r="A219" s="219"/>
      <c r="B219" s="98"/>
      <c r="C219" s="219"/>
      <c r="D219" s="219"/>
      <c r="E219" s="219"/>
      <c r="F219" s="219"/>
      <c r="G219" s="219"/>
      <c r="H219" s="219"/>
      <c r="I219" s="219"/>
      <c r="J219" s="219"/>
      <c r="K219" s="219"/>
      <c r="L219" s="219"/>
      <c r="M219" s="219"/>
      <c r="N219" s="219"/>
      <c r="O219" s="219"/>
    </row>
    <row r="220" spans="1:15">
      <c r="A220" s="219"/>
      <c r="B220" s="98"/>
      <c r="C220" s="219"/>
      <c r="D220" s="219"/>
      <c r="E220" s="219"/>
      <c r="F220" s="219"/>
      <c r="G220" s="219"/>
      <c r="H220" s="219"/>
      <c r="I220" s="219"/>
      <c r="J220" s="219"/>
      <c r="K220" s="219"/>
      <c r="L220" s="219"/>
      <c r="M220" s="219"/>
      <c r="N220" s="219"/>
      <c r="O220" s="219"/>
    </row>
    <row r="221" spans="1:15">
      <c r="A221" s="219"/>
      <c r="B221" s="98"/>
      <c r="C221" s="219"/>
      <c r="D221" s="219"/>
      <c r="E221" s="219"/>
      <c r="F221" s="219"/>
      <c r="G221" s="219"/>
      <c r="H221" s="219"/>
      <c r="I221" s="219"/>
      <c r="J221" s="219"/>
      <c r="K221" s="219"/>
      <c r="L221" s="219"/>
      <c r="M221" s="219"/>
      <c r="N221" s="219"/>
      <c r="O221" s="219"/>
    </row>
    <row r="222" spans="1:15">
      <c r="A222" s="219"/>
      <c r="B222" s="98"/>
      <c r="C222" s="219"/>
      <c r="D222" s="219"/>
      <c r="E222" s="219"/>
      <c r="F222" s="219"/>
      <c r="G222" s="219"/>
      <c r="H222" s="219"/>
      <c r="I222" s="219"/>
      <c r="J222" s="219"/>
      <c r="K222" s="219"/>
      <c r="L222" s="219"/>
      <c r="M222" s="219"/>
      <c r="N222" s="219"/>
      <c r="O222" s="219"/>
    </row>
    <row r="223" spans="1:15">
      <c r="A223" s="219"/>
      <c r="B223" s="98"/>
      <c r="C223" s="219"/>
      <c r="D223" s="219"/>
      <c r="E223" s="219"/>
      <c r="F223" s="219"/>
      <c r="G223" s="219"/>
      <c r="H223" s="219"/>
      <c r="I223" s="219"/>
      <c r="J223" s="219"/>
      <c r="K223" s="219"/>
      <c r="L223" s="219"/>
      <c r="M223" s="219"/>
      <c r="N223" s="219"/>
      <c r="O223" s="219"/>
    </row>
    <row r="224" spans="1:15">
      <c r="A224" s="219"/>
      <c r="B224" s="98"/>
      <c r="C224" s="219"/>
      <c r="D224" s="219"/>
      <c r="E224" s="219"/>
      <c r="F224" s="219"/>
      <c r="G224" s="219"/>
      <c r="H224" s="219"/>
      <c r="I224" s="219"/>
      <c r="J224" s="219"/>
      <c r="K224" s="219"/>
      <c r="L224" s="219"/>
      <c r="M224" s="219"/>
      <c r="N224" s="219"/>
      <c r="O224" s="219"/>
    </row>
    <row r="225" spans="1:15">
      <c r="A225" s="219"/>
      <c r="B225" s="98"/>
      <c r="C225" s="219"/>
      <c r="D225" s="219"/>
      <c r="E225" s="219"/>
      <c r="F225" s="219"/>
      <c r="G225" s="219"/>
      <c r="H225" s="219"/>
      <c r="I225" s="219"/>
      <c r="J225" s="219"/>
      <c r="K225" s="219"/>
      <c r="L225" s="219"/>
      <c r="M225" s="219"/>
      <c r="N225" s="219"/>
      <c r="O225" s="219"/>
    </row>
    <row r="226" spans="1:15">
      <c r="A226" s="219"/>
      <c r="B226" s="98"/>
      <c r="C226" s="219"/>
      <c r="D226" s="219"/>
      <c r="E226" s="219"/>
      <c r="F226" s="219"/>
      <c r="G226" s="219"/>
      <c r="H226" s="219"/>
      <c r="I226" s="219"/>
      <c r="J226" s="219"/>
      <c r="K226" s="219"/>
      <c r="L226" s="219"/>
      <c r="M226" s="219"/>
      <c r="N226" s="219"/>
      <c r="O226" s="219"/>
    </row>
    <row r="227" spans="1:15">
      <c r="A227" s="219"/>
      <c r="B227" s="98"/>
      <c r="C227" s="219"/>
      <c r="D227" s="219"/>
      <c r="E227" s="219"/>
      <c r="F227" s="219"/>
      <c r="G227" s="219"/>
      <c r="H227" s="219"/>
      <c r="I227" s="219"/>
      <c r="J227" s="219"/>
      <c r="K227" s="219"/>
      <c r="L227" s="219"/>
      <c r="M227" s="219"/>
      <c r="N227" s="219"/>
      <c r="O227" s="219"/>
    </row>
    <row r="228" spans="1:15">
      <c r="A228" s="219"/>
      <c r="B228" s="98"/>
      <c r="C228" s="219"/>
      <c r="D228" s="219"/>
      <c r="E228" s="219"/>
      <c r="F228" s="219"/>
      <c r="G228" s="219"/>
      <c r="H228" s="219"/>
      <c r="I228" s="219"/>
      <c r="J228" s="219"/>
      <c r="K228" s="219"/>
      <c r="L228" s="219"/>
      <c r="M228" s="219"/>
      <c r="N228" s="219"/>
      <c r="O228" s="219"/>
    </row>
    <row r="229" spans="1:15">
      <c r="A229" s="219"/>
      <c r="B229" s="98"/>
      <c r="C229" s="219"/>
      <c r="D229" s="219"/>
      <c r="E229" s="219"/>
      <c r="F229" s="219"/>
      <c r="G229" s="219"/>
      <c r="H229" s="219"/>
      <c r="I229" s="219"/>
      <c r="J229" s="219"/>
      <c r="K229" s="219"/>
      <c r="L229" s="219"/>
      <c r="M229" s="219"/>
      <c r="N229" s="219"/>
      <c r="O229" s="219"/>
    </row>
    <row r="230" spans="1:15">
      <c r="A230" s="219"/>
      <c r="B230" s="98"/>
      <c r="C230" s="219"/>
      <c r="D230" s="219"/>
      <c r="E230" s="219"/>
      <c r="F230" s="219"/>
      <c r="G230" s="219"/>
      <c r="H230" s="219"/>
      <c r="I230" s="219"/>
      <c r="J230" s="219"/>
      <c r="K230" s="219"/>
      <c r="L230" s="219"/>
      <c r="M230" s="219"/>
      <c r="N230" s="219"/>
      <c r="O230" s="219"/>
    </row>
    <row r="231" spans="1:15">
      <c r="A231" s="219"/>
      <c r="B231" s="98"/>
      <c r="C231" s="219"/>
      <c r="D231" s="219"/>
      <c r="E231" s="219"/>
      <c r="F231" s="219"/>
      <c r="G231" s="219"/>
      <c r="H231" s="219"/>
      <c r="I231" s="219"/>
      <c r="J231" s="219"/>
      <c r="K231" s="219"/>
      <c r="L231" s="219"/>
      <c r="M231" s="219"/>
      <c r="N231" s="219"/>
      <c r="O231" s="219"/>
    </row>
  </sheetData>
  <mergeCells count="2">
    <mergeCell ref="A1:B1"/>
    <mergeCell ref="B2:B5"/>
  </mergeCell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L32" sqref="L32"/>
    </sheetView>
  </sheetViews>
  <sheetFormatPr defaultColWidth="8.85546875" defaultRowHeight="15"/>
  <cols>
    <col min="1" max="2" width="8.85546875" style="538"/>
    <col min="3" max="3" width="11.85546875" style="538" customWidth="1"/>
    <col min="4" max="4" width="23.140625" style="538" customWidth="1"/>
    <col min="5" max="5" width="14.140625" style="538" customWidth="1"/>
    <col min="6" max="6" width="14.85546875" style="538" customWidth="1"/>
    <col min="7" max="7" width="14" style="538" customWidth="1"/>
    <col min="8" max="8" width="15" style="538" customWidth="1"/>
    <col min="9" max="9" width="5.42578125" style="538" customWidth="1"/>
    <col min="10" max="10" width="13.85546875" style="538" customWidth="1"/>
    <col min="11" max="11" width="18.85546875" style="538" customWidth="1"/>
    <col min="12" max="12" width="20.42578125" style="538" customWidth="1"/>
    <col min="13" max="16384" width="8.85546875" style="538"/>
  </cols>
  <sheetData>
    <row r="1" spans="1:12">
      <c r="E1" s="164" t="s">
        <v>478</v>
      </c>
    </row>
    <row r="2" spans="1:12">
      <c r="E2" s="164" t="s">
        <v>479</v>
      </c>
    </row>
    <row r="3" spans="1:12">
      <c r="E3" s="164" t="s">
        <v>480</v>
      </c>
    </row>
    <row r="5" spans="1:12">
      <c r="D5" s="184" t="s">
        <v>481</v>
      </c>
      <c r="E5" s="184" t="s">
        <v>482</v>
      </c>
      <c r="F5" s="184" t="s">
        <v>483</v>
      </c>
      <c r="G5" s="184" t="s">
        <v>484</v>
      </c>
      <c r="H5" s="184" t="s">
        <v>485</v>
      </c>
      <c r="L5" s="184" t="s">
        <v>481</v>
      </c>
    </row>
    <row r="6" spans="1:12">
      <c r="A6" s="538" t="s">
        <v>486</v>
      </c>
      <c r="D6" s="165">
        <v>52049200.530000001</v>
      </c>
      <c r="E6" s="166">
        <v>8407336.7300000004</v>
      </c>
      <c r="F6" s="166">
        <v>2493477.61</v>
      </c>
      <c r="G6" s="166">
        <v>13343757.130000001</v>
      </c>
      <c r="H6" s="166">
        <f t="shared" ref="H6:H8" si="0">D6-E6-F6-G6</f>
        <v>27804629.059999999</v>
      </c>
      <c r="J6" s="187"/>
      <c r="L6" s="166"/>
    </row>
    <row r="7" spans="1:12">
      <c r="A7" s="538" t="s">
        <v>487</v>
      </c>
      <c r="D7" s="166">
        <f>357391255.14+242000000</f>
        <v>599391255.13999999</v>
      </c>
      <c r="E7" s="166">
        <v>36328172.549999997</v>
      </c>
      <c r="F7" s="166">
        <v>12934377.789999999</v>
      </c>
      <c r="G7" s="166">
        <v>67564266.180000007</v>
      </c>
      <c r="H7" s="166">
        <f t="shared" si="0"/>
        <v>482564438.62</v>
      </c>
      <c r="J7" s="166"/>
      <c r="L7" s="166"/>
    </row>
    <row r="8" spans="1:12">
      <c r="A8" s="538" t="s">
        <v>488</v>
      </c>
      <c r="D8" s="166">
        <f>L8</f>
        <v>301631165.20999998</v>
      </c>
      <c r="E8" s="166">
        <v>15454826.460000001</v>
      </c>
      <c r="F8" s="166">
        <v>15316549.619999999</v>
      </c>
      <c r="G8" s="166">
        <v>15563119.130000001</v>
      </c>
      <c r="H8" s="166">
        <f t="shared" si="0"/>
        <v>255296670</v>
      </c>
      <c r="J8" s="538" t="s">
        <v>489</v>
      </c>
      <c r="L8" s="166">
        <f>SUM(L9:L12)</f>
        <v>301631165.20999998</v>
      </c>
    </row>
    <row r="9" spans="1:12">
      <c r="D9" s="166"/>
      <c r="E9" s="166"/>
      <c r="F9" s="166"/>
      <c r="G9" s="166"/>
      <c r="H9" s="166"/>
      <c r="J9" s="538" t="s">
        <v>490</v>
      </c>
      <c r="L9" s="166">
        <f>161832479.86+13412556.35</f>
        <v>175245036.21000001</v>
      </c>
    </row>
    <row r="10" spans="1:12">
      <c r="D10" s="166"/>
      <c r="E10" s="166"/>
      <c r="F10" s="166"/>
      <c r="G10" s="166"/>
      <c r="H10" s="166"/>
      <c r="J10" s="538" t="s">
        <v>491</v>
      </c>
      <c r="L10" s="187">
        <v>53851633</v>
      </c>
    </row>
    <row r="11" spans="1:12">
      <c r="A11" s="538" t="s">
        <v>492</v>
      </c>
      <c r="D11" s="166">
        <v>25772442.280000001</v>
      </c>
      <c r="E11" s="166"/>
      <c r="F11" s="166">
        <v>0</v>
      </c>
      <c r="G11" s="166">
        <v>0</v>
      </c>
      <c r="H11" s="166">
        <f>D11-E11</f>
        <v>25772442.280000001</v>
      </c>
      <c r="J11" s="538" t="s">
        <v>493</v>
      </c>
      <c r="L11" s="187">
        <v>72534496</v>
      </c>
    </row>
    <row r="12" spans="1:12">
      <c r="D12" s="166"/>
      <c r="E12" s="166"/>
      <c r="F12" s="166"/>
      <c r="G12" s="166"/>
      <c r="H12" s="166"/>
      <c r="L12" s="166"/>
    </row>
    <row r="13" spans="1:12">
      <c r="D13" s="166"/>
      <c r="E13" s="166"/>
      <c r="F13" s="166"/>
      <c r="G13" s="166"/>
      <c r="H13" s="166"/>
      <c r="J13" s="166"/>
      <c r="L13" s="166"/>
    </row>
    <row r="14" spans="1:12">
      <c r="D14" s="166"/>
      <c r="E14" s="166"/>
      <c r="F14" s="166"/>
      <c r="G14" s="166"/>
      <c r="H14" s="166"/>
      <c r="J14" s="538" t="s">
        <v>492</v>
      </c>
      <c r="L14" s="166">
        <f>D11</f>
        <v>25772442.280000001</v>
      </c>
    </row>
    <row r="15" spans="1:12">
      <c r="D15" s="166"/>
      <c r="E15" s="166"/>
      <c r="F15" s="166"/>
      <c r="G15" s="166"/>
      <c r="H15" s="166"/>
      <c r="J15" s="538" t="s">
        <v>487</v>
      </c>
      <c r="L15" s="165">
        <f>D7</f>
        <v>599391255.13999999</v>
      </c>
    </row>
    <row r="16" spans="1:12">
      <c r="A16" s="538" t="s">
        <v>376</v>
      </c>
      <c r="D16" s="166"/>
      <c r="E16" s="166"/>
      <c r="F16" s="166"/>
      <c r="G16" s="166"/>
      <c r="H16" s="166"/>
      <c r="L16" s="165"/>
    </row>
    <row r="17" spans="4:12">
      <c r="L17" s="166"/>
    </row>
    <row r="18" spans="4:12">
      <c r="D18" s="166"/>
      <c r="E18" s="166"/>
      <c r="F18" s="166"/>
      <c r="G18" s="166"/>
      <c r="H18" s="166"/>
      <c r="L18" s="166"/>
    </row>
    <row r="20" spans="4:12">
      <c r="D20" s="166"/>
    </row>
    <row r="25" spans="4:12">
      <c r="H25" s="187"/>
    </row>
    <row r="26" spans="4:12">
      <c r="H26" s="167"/>
    </row>
    <row r="28" spans="4:12">
      <c r="H28" s="167"/>
    </row>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
  <sheetViews>
    <sheetView workbookViewId="0">
      <selection activeCell="G36" sqref="G36"/>
    </sheetView>
  </sheetViews>
  <sheetFormatPr defaultColWidth="8.85546875" defaultRowHeight="15"/>
  <cols>
    <col min="1" max="1" width="42.85546875" style="538" customWidth="1"/>
    <col min="2" max="2" width="37.85546875" style="538" customWidth="1"/>
    <col min="3" max="3" width="27.140625" style="538" customWidth="1"/>
    <col min="4" max="4" width="17.28515625" style="538" customWidth="1"/>
    <col min="5" max="5" width="15.140625" style="538" customWidth="1"/>
    <col min="6" max="6" width="15" style="538" customWidth="1"/>
    <col min="7" max="7" width="14.42578125" style="538" customWidth="1"/>
    <col min="8" max="8" width="12.42578125" style="538" customWidth="1"/>
    <col min="9" max="9" width="13.42578125" style="538" customWidth="1"/>
    <col min="10" max="11" width="21.42578125" style="538" customWidth="1"/>
    <col min="12" max="12" width="16.42578125" style="538" customWidth="1"/>
    <col min="13" max="13" width="18.28515625" style="538" customWidth="1"/>
    <col min="14" max="16384" width="8.85546875" style="538"/>
  </cols>
  <sheetData>
    <row r="2" spans="1:10" ht="30">
      <c r="A2" s="168" t="s">
        <v>494</v>
      </c>
      <c r="B2" s="168" t="s">
        <v>495</v>
      </c>
      <c r="C2" s="19" t="s">
        <v>496</v>
      </c>
      <c r="D2" s="19" t="s">
        <v>497</v>
      </c>
      <c r="E2" s="19" t="s">
        <v>498</v>
      </c>
      <c r="F2" s="19" t="s">
        <v>499</v>
      </c>
      <c r="G2" s="168" t="s">
        <v>375</v>
      </c>
      <c r="H2" s="423"/>
      <c r="I2" s="423"/>
      <c r="J2" s="423"/>
    </row>
    <row r="3" spans="1:10">
      <c r="A3" s="168" t="s">
        <v>500</v>
      </c>
      <c r="B3" s="168" t="s">
        <v>501</v>
      </c>
      <c r="C3" s="169">
        <v>175.2</v>
      </c>
      <c r="D3" s="168"/>
      <c r="E3" s="169"/>
      <c r="F3" s="169"/>
      <c r="G3" s="169">
        <f>SUM(C3:F3)</f>
        <v>175.2</v>
      </c>
      <c r="H3" s="423"/>
      <c r="I3" s="423"/>
      <c r="J3" s="423"/>
    </row>
    <row r="4" spans="1:10">
      <c r="A4" s="168" t="s">
        <v>500</v>
      </c>
      <c r="B4" s="168" t="s">
        <v>501</v>
      </c>
      <c r="C4" s="169"/>
      <c r="D4" s="169">
        <v>72.5</v>
      </c>
      <c r="E4" s="169"/>
      <c r="F4" s="169"/>
      <c r="G4" s="169">
        <f t="shared" ref="G4:G16" si="0">SUM(C4:F4)</f>
        <v>72.5</v>
      </c>
      <c r="H4" s="423"/>
      <c r="I4" s="423"/>
      <c r="J4" s="423"/>
    </row>
    <row r="5" spans="1:10">
      <c r="A5" s="168" t="s">
        <v>502</v>
      </c>
      <c r="B5" s="168" t="s">
        <v>503</v>
      </c>
      <c r="C5" s="169">
        <v>85.4</v>
      </c>
      <c r="D5" s="169"/>
      <c r="E5" s="169"/>
      <c r="F5" s="169"/>
      <c r="G5" s="169">
        <f t="shared" si="0"/>
        <v>85.4</v>
      </c>
      <c r="H5" s="423"/>
      <c r="I5" s="423"/>
      <c r="J5" s="423"/>
    </row>
    <row r="6" spans="1:10">
      <c r="A6" s="168" t="s">
        <v>356</v>
      </c>
      <c r="B6" s="168" t="s">
        <v>504</v>
      </c>
      <c r="C6" s="169">
        <v>22.2</v>
      </c>
      <c r="D6" s="169"/>
      <c r="E6" s="169"/>
      <c r="F6" s="169"/>
      <c r="G6" s="169">
        <f t="shared" si="0"/>
        <v>22.2</v>
      </c>
      <c r="H6" s="423"/>
      <c r="I6" s="423"/>
      <c r="J6" s="423"/>
    </row>
    <row r="7" spans="1:10">
      <c r="A7" s="168" t="s">
        <v>505</v>
      </c>
      <c r="B7" s="168" t="s">
        <v>506</v>
      </c>
      <c r="C7" s="169">
        <v>38.4</v>
      </c>
      <c r="D7" s="169"/>
      <c r="E7" s="169"/>
      <c r="F7" s="169"/>
      <c r="G7" s="169">
        <f t="shared" si="0"/>
        <v>38.4</v>
      </c>
      <c r="H7" s="423"/>
      <c r="I7" s="423"/>
      <c r="J7" s="423"/>
    </row>
    <row r="8" spans="1:10">
      <c r="A8" s="168" t="s">
        <v>507</v>
      </c>
      <c r="B8" s="168" t="s">
        <v>508</v>
      </c>
      <c r="C8" s="169">
        <v>3.5</v>
      </c>
      <c r="D8" s="169"/>
      <c r="E8" s="169"/>
      <c r="F8" s="169"/>
      <c r="G8" s="169">
        <f t="shared" si="0"/>
        <v>3.5</v>
      </c>
      <c r="H8" s="423"/>
      <c r="I8" s="423"/>
      <c r="J8" s="423"/>
    </row>
    <row r="9" spans="1:10">
      <c r="A9" s="168" t="s">
        <v>509</v>
      </c>
      <c r="B9" s="168" t="s">
        <v>510</v>
      </c>
      <c r="C9" s="169">
        <v>29.6</v>
      </c>
      <c r="D9" s="169"/>
      <c r="E9" s="169"/>
      <c r="F9" s="169"/>
      <c r="G9" s="169">
        <f t="shared" si="0"/>
        <v>29.6</v>
      </c>
      <c r="H9" s="423"/>
      <c r="I9" s="423"/>
      <c r="J9" s="423"/>
    </row>
    <row r="10" spans="1:10">
      <c r="A10" s="168" t="s">
        <v>511</v>
      </c>
      <c r="B10" s="168"/>
      <c r="C10" s="169">
        <v>6.1</v>
      </c>
      <c r="D10" s="169"/>
      <c r="E10" s="169"/>
      <c r="F10" s="169"/>
      <c r="G10" s="169">
        <f t="shared" si="0"/>
        <v>6.1</v>
      </c>
      <c r="H10" s="423"/>
      <c r="I10" s="423"/>
      <c r="J10" s="423"/>
    </row>
    <row r="11" spans="1:10">
      <c r="A11" s="168" t="s">
        <v>512</v>
      </c>
      <c r="B11" s="168" t="s">
        <v>513</v>
      </c>
      <c r="C11" s="169"/>
      <c r="D11" s="169"/>
      <c r="E11" s="169">
        <v>17</v>
      </c>
      <c r="F11" s="169"/>
      <c r="G11" s="169">
        <f t="shared" si="0"/>
        <v>17</v>
      </c>
      <c r="H11" s="423"/>
      <c r="I11" s="423"/>
      <c r="J11" s="423"/>
    </row>
    <row r="12" spans="1:10">
      <c r="A12" s="168" t="s">
        <v>514</v>
      </c>
      <c r="B12" s="168" t="s">
        <v>513</v>
      </c>
      <c r="C12" s="169"/>
      <c r="D12" s="169"/>
      <c r="E12" s="169">
        <v>17.100000000000001</v>
      </c>
      <c r="F12" s="169"/>
      <c r="G12" s="169">
        <f t="shared" si="0"/>
        <v>17.100000000000001</v>
      </c>
      <c r="H12" s="423"/>
      <c r="I12" s="423"/>
      <c r="J12" s="423"/>
    </row>
    <row r="13" spans="1:10">
      <c r="A13" s="168" t="s">
        <v>515</v>
      </c>
      <c r="B13" s="168" t="s">
        <v>516</v>
      </c>
      <c r="C13" s="169"/>
      <c r="D13" s="169"/>
      <c r="E13" s="169">
        <v>3.2</v>
      </c>
      <c r="F13" s="169"/>
      <c r="G13" s="169">
        <f t="shared" si="0"/>
        <v>3.2</v>
      </c>
      <c r="H13" s="423"/>
      <c r="I13" s="423"/>
      <c r="J13" s="423"/>
    </row>
    <row r="14" spans="1:10">
      <c r="A14" s="168" t="s">
        <v>517</v>
      </c>
      <c r="B14" s="168" t="s">
        <v>518</v>
      </c>
      <c r="C14" s="169"/>
      <c r="D14" s="169"/>
      <c r="E14" s="169">
        <v>4.3</v>
      </c>
      <c r="F14" s="169"/>
      <c r="G14" s="169">
        <f t="shared" si="0"/>
        <v>4.3</v>
      </c>
      <c r="H14" s="423"/>
      <c r="I14" s="423"/>
      <c r="J14" s="423"/>
    </row>
    <row r="15" spans="1:10">
      <c r="A15" s="168" t="s">
        <v>519</v>
      </c>
      <c r="B15" s="168" t="s">
        <v>518</v>
      </c>
      <c r="C15" s="169"/>
      <c r="D15" s="169"/>
      <c r="E15" s="169">
        <v>12.3</v>
      </c>
      <c r="F15" s="169"/>
      <c r="G15" s="169">
        <f t="shared" si="0"/>
        <v>12.3</v>
      </c>
      <c r="H15" s="423"/>
      <c r="I15" s="423"/>
      <c r="J15" s="423"/>
    </row>
    <row r="16" spans="1:10">
      <c r="A16" s="168" t="s">
        <v>520</v>
      </c>
      <c r="B16" s="168"/>
      <c r="C16" s="169"/>
      <c r="D16" s="169"/>
      <c r="E16" s="169"/>
      <c r="F16" s="169">
        <v>9.1999999999999993</v>
      </c>
      <c r="G16" s="169">
        <f t="shared" si="0"/>
        <v>9.1999999999999993</v>
      </c>
      <c r="H16" s="423"/>
      <c r="I16" s="423"/>
      <c r="J16" s="423"/>
    </row>
    <row r="17" spans="1:10">
      <c r="A17" s="168" t="s">
        <v>521</v>
      </c>
      <c r="B17" s="168"/>
      <c r="C17" s="169">
        <f t="shared" ref="C17:F17" si="1">SUM(C3:C16)</f>
        <v>360.4</v>
      </c>
      <c r="D17" s="169">
        <f>SUM(D4:D16)</f>
        <v>72.5</v>
      </c>
      <c r="E17" s="169">
        <f>SUM(E3:E15)</f>
        <v>53.9</v>
      </c>
      <c r="F17" s="169">
        <f t="shared" si="1"/>
        <v>9.1999999999999993</v>
      </c>
      <c r="G17" s="169">
        <f>SUM(G3:G16)</f>
        <v>496</v>
      </c>
      <c r="H17" s="423"/>
      <c r="I17" s="423"/>
      <c r="J17" s="423"/>
    </row>
    <row r="18" spans="1:10">
      <c r="A18" s="168"/>
      <c r="B18" s="168"/>
      <c r="C18" s="169"/>
      <c r="D18" s="169"/>
      <c r="E18" s="169"/>
      <c r="F18" s="169"/>
      <c r="G18" s="169"/>
      <c r="H18" s="423"/>
      <c r="I18" s="423"/>
      <c r="J18" s="423"/>
    </row>
    <row r="19" spans="1:10">
      <c r="A19" s="168" t="s">
        <v>522</v>
      </c>
      <c r="B19" s="168" t="s">
        <v>523</v>
      </c>
      <c r="C19" s="169"/>
      <c r="D19" s="169">
        <v>66.900000000000006</v>
      </c>
      <c r="E19" s="169"/>
      <c r="F19" s="169"/>
      <c r="G19" s="169">
        <f t="shared" ref="G19:G20" si="2">SUM(C19:F19)</f>
        <v>66.900000000000006</v>
      </c>
      <c r="H19" s="423"/>
      <c r="I19" s="423"/>
      <c r="J19" s="423"/>
    </row>
    <row r="20" spans="1:10">
      <c r="A20" s="168" t="s">
        <v>524</v>
      </c>
      <c r="B20" s="168"/>
      <c r="C20" s="169">
        <f>C17</f>
        <v>360.4</v>
      </c>
      <c r="D20" s="169">
        <f>D17-D19</f>
        <v>5.6</v>
      </c>
      <c r="E20" s="169">
        <f>E17</f>
        <v>53.9</v>
      </c>
      <c r="F20" s="169">
        <v>9.1999999999999993</v>
      </c>
      <c r="G20" s="169">
        <f t="shared" si="2"/>
        <v>429.1</v>
      </c>
      <c r="H20" s="423"/>
      <c r="I20" s="423"/>
      <c r="J20" s="423"/>
    </row>
  </sheetData>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selection activeCell="D31" sqref="D31"/>
    </sheetView>
  </sheetViews>
  <sheetFormatPr defaultColWidth="8.85546875" defaultRowHeight="15"/>
  <cols>
    <col min="1" max="1" width="63.42578125" style="538" customWidth="1"/>
    <col min="2" max="2" width="46.140625" style="538" customWidth="1"/>
    <col min="3" max="3" width="36.85546875" style="538" customWidth="1"/>
    <col min="4" max="4" width="28.42578125" style="538" customWidth="1"/>
    <col min="5" max="5" width="18.28515625" style="538" customWidth="1"/>
    <col min="6" max="6" width="29.7109375" style="538" customWidth="1"/>
    <col min="7" max="7" width="20.42578125" style="538" customWidth="1"/>
    <col min="8" max="16384" width="8.85546875" style="538"/>
  </cols>
  <sheetData>
    <row r="1" spans="1:7">
      <c r="B1" s="538" t="s">
        <v>312</v>
      </c>
      <c r="C1" s="538" t="s">
        <v>313</v>
      </c>
      <c r="D1" s="538" t="s">
        <v>314</v>
      </c>
      <c r="E1" s="538" t="s">
        <v>315</v>
      </c>
      <c r="F1" s="538" t="s">
        <v>316</v>
      </c>
      <c r="G1" s="538" t="s">
        <v>317</v>
      </c>
    </row>
    <row r="2" spans="1:7">
      <c r="A2" s="538" t="s">
        <v>318</v>
      </c>
      <c r="B2" s="55">
        <v>0.98</v>
      </c>
      <c r="C2" s="204"/>
      <c r="D2" s="204"/>
      <c r="E2" s="204">
        <f t="shared" ref="E2:E10" si="0">C2-D2</f>
        <v>0</v>
      </c>
      <c r="F2" s="204">
        <f t="shared" ref="F2:F58" si="1">B2-E2</f>
        <v>0.98</v>
      </c>
      <c r="G2" s="204">
        <f t="shared" ref="G2:G12" si="2">IF(F2&lt;0,0,F2)</f>
        <v>0.98</v>
      </c>
    </row>
    <row r="3" spans="1:7">
      <c r="A3" s="538" t="s">
        <v>319</v>
      </c>
      <c r="B3" s="55">
        <v>1.2</v>
      </c>
      <c r="C3" s="204"/>
      <c r="D3" s="204"/>
      <c r="E3" s="204">
        <f t="shared" si="0"/>
        <v>0</v>
      </c>
      <c r="F3" s="204">
        <f t="shared" si="1"/>
        <v>1.2</v>
      </c>
      <c r="G3" s="204">
        <f t="shared" si="2"/>
        <v>1.2</v>
      </c>
    </row>
    <row r="4" spans="1:7">
      <c r="A4" s="538" t="s">
        <v>320</v>
      </c>
      <c r="B4" s="55">
        <v>1.6</v>
      </c>
      <c r="C4" s="204">
        <v>0.59</v>
      </c>
      <c r="D4" s="204">
        <v>1.87</v>
      </c>
      <c r="E4" s="204">
        <f t="shared" si="0"/>
        <v>-1.28</v>
      </c>
      <c r="F4" s="204">
        <f t="shared" si="1"/>
        <v>2.88</v>
      </c>
      <c r="G4" s="204">
        <f t="shared" si="2"/>
        <v>2.88</v>
      </c>
    </row>
    <row r="5" spans="1:7">
      <c r="A5" s="538" t="s">
        <v>321</v>
      </c>
      <c r="B5" s="55">
        <v>8.2200000000000006</v>
      </c>
      <c r="C5" s="204">
        <v>8.82</v>
      </c>
      <c r="D5" s="204"/>
      <c r="E5" s="204">
        <f t="shared" si="0"/>
        <v>8.82</v>
      </c>
      <c r="F5" s="204">
        <f t="shared" si="1"/>
        <v>-0.6</v>
      </c>
      <c r="G5" s="204">
        <f t="shared" si="2"/>
        <v>0</v>
      </c>
    </row>
    <row r="6" spans="1:7">
      <c r="A6" s="538" t="s">
        <v>322</v>
      </c>
      <c r="B6" s="55">
        <v>0.87</v>
      </c>
      <c r="C6" s="204"/>
      <c r="D6" s="204"/>
      <c r="E6" s="204">
        <f t="shared" si="0"/>
        <v>0</v>
      </c>
      <c r="F6" s="204">
        <f t="shared" si="1"/>
        <v>0.87</v>
      </c>
      <c r="G6" s="204">
        <f t="shared" si="2"/>
        <v>0.87</v>
      </c>
    </row>
    <row r="7" spans="1:7">
      <c r="A7" s="538" t="s">
        <v>323</v>
      </c>
      <c r="B7" s="55">
        <v>17.5</v>
      </c>
      <c r="C7" s="204"/>
      <c r="D7" s="204"/>
      <c r="E7" s="204">
        <f t="shared" si="0"/>
        <v>0</v>
      </c>
      <c r="F7" s="204">
        <f t="shared" si="1"/>
        <v>17.5</v>
      </c>
      <c r="G7" s="204">
        <f t="shared" si="2"/>
        <v>17.5</v>
      </c>
    </row>
    <row r="8" spans="1:7">
      <c r="A8" s="538" t="s">
        <v>324</v>
      </c>
      <c r="B8" s="55">
        <v>5.04</v>
      </c>
      <c r="C8" s="204"/>
      <c r="D8" s="204"/>
      <c r="E8" s="204">
        <f t="shared" si="0"/>
        <v>0</v>
      </c>
      <c r="F8" s="204">
        <f t="shared" si="1"/>
        <v>5.04</v>
      </c>
      <c r="G8" s="204">
        <f t="shared" si="2"/>
        <v>5.04</v>
      </c>
    </row>
    <row r="9" spans="1:7">
      <c r="A9" s="538" t="s">
        <v>325</v>
      </c>
      <c r="B9" s="55">
        <v>5.84</v>
      </c>
      <c r="C9" s="204"/>
      <c r="D9" s="204"/>
      <c r="E9" s="204">
        <f t="shared" si="0"/>
        <v>0</v>
      </c>
      <c r="F9" s="204">
        <f t="shared" si="1"/>
        <v>5.84</v>
      </c>
      <c r="G9" s="204">
        <f t="shared" si="2"/>
        <v>5.84</v>
      </c>
    </row>
    <row r="10" spans="1:7">
      <c r="A10" s="538" t="s">
        <v>326</v>
      </c>
      <c r="B10" s="55">
        <v>9.35</v>
      </c>
      <c r="C10" s="204"/>
      <c r="D10" s="204"/>
      <c r="E10" s="204">
        <f t="shared" si="0"/>
        <v>0</v>
      </c>
      <c r="F10" s="204">
        <f t="shared" si="1"/>
        <v>9.35</v>
      </c>
      <c r="G10" s="204">
        <f t="shared" si="2"/>
        <v>9.35</v>
      </c>
    </row>
    <row r="11" spans="1:7">
      <c r="A11" s="538" t="s">
        <v>327</v>
      </c>
      <c r="B11" s="538">
        <v>0.25</v>
      </c>
      <c r="F11" s="204">
        <f t="shared" si="1"/>
        <v>0.25</v>
      </c>
      <c r="G11" s="204">
        <f t="shared" si="2"/>
        <v>0.25</v>
      </c>
    </row>
    <row r="12" spans="1:7">
      <c r="A12" s="538" t="s">
        <v>328</v>
      </c>
      <c r="B12" s="538">
        <v>0</v>
      </c>
      <c r="E12" s="28"/>
      <c r="F12" s="204">
        <f t="shared" si="1"/>
        <v>0</v>
      </c>
      <c r="G12" s="204">
        <f t="shared" si="2"/>
        <v>0</v>
      </c>
    </row>
    <row r="13" spans="1:7">
      <c r="A13" s="538" t="s">
        <v>329</v>
      </c>
      <c r="B13" s="55">
        <v>9.98</v>
      </c>
      <c r="C13" s="204">
        <v>20.87</v>
      </c>
      <c r="D13" s="204">
        <v>0.08</v>
      </c>
      <c r="E13" s="204">
        <f>C13-D13</f>
        <v>20.79</v>
      </c>
      <c r="F13" s="204">
        <f t="shared" si="1"/>
        <v>-10.81</v>
      </c>
      <c r="G13" s="204">
        <f>IF(F13&lt;0,0,F13)</f>
        <v>0</v>
      </c>
    </row>
    <row r="14" spans="1:7">
      <c r="A14" s="538" t="s">
        <v>330</v>
      </c>
      <c r="B14" s="538">
        <v>0.15</v>
      </c>
      <c r="F14" s="204">
        <f t="shared" si="1"/>
        <v>0.15</v>
      </c>
      <c r="G14" s="204">
        <f>IF(F14&lt;0,0,F14)</f>
        <v>0.15</v>
      </c>
    </row>
    <row r="15" spans="1:7">
      <c r="A15" s="538" t="s">
        <v>331</v>
      </c>
      <c r="B15" s="55"/>
      <c r="C15" s="204"/>
      <c r="D15" s="204"/>
      <c r="E15" s="204">
        <f t="shared" ref="E15:E58" si="3">C15-D15</f>
        <v>0</v>
      </c>
      <c r="F15" s="204">
        <f t="shared" si="1"/>
        <v>0</v>
      </c>
      <c r="G15" s="204">
        <f t="shared" ref="G15:G58" si="4">IF(F15&lt;0,0,F15)</f>
        <v>0</v>
      </c>
    </row>
    <row r="16" spans="1:7">
      <c r="A16" s="538" t="s">
        <v>332</v>
      </c>
      <c r="B16" s="55">
        <v>19.170000000000002</v>
      </c>
      <c r="C16" s="204"/>
      <c r="D16" s="204"/>
      <c r="E16" s="204">
        <f t="shared" si="3"/>
        <v>0</v>
      </c>
      <c r="F16" s="204">
        <f t="shared" si="1"/>
        <v>19.170000000000002</v>
      </c>
      <c r="G16" s="204">
        <f t="shared" si="4"/>
        <v>19.170000000000002</v>
      </c>
    </row>
    <row r="17" spans="1:7">
      <c r="A17" s="538" t="s">
        <v>333</v>
      </c>
      <c r="B17" s="55">
        <v>1.02</v>
      </c>
      <c r="C17" s="204"/>
      <c r="D17" s="204"/>
      <c r="E17" s="204">
        <f t="shared" si="3"/>
        <v>0</v>
      </c>
      <c r="F17" s="204">
        <f t="shared" si="1"/>
        <v>1.02</v>
      </c>
      <c r="G17" s="204">
        <f t="shared" si="4"/>
        <v>1.02</v>
      </c>
    </row>
    <row r="18" spans="1:7">
      <c r="A18" s="538" t="s">
        <v>334</v>
      </c>
      <c r="B18" s="55">
        <v>92.82</v>
      </c>
      <c r="C18" s="204"/>
      <c r="D18" s="204"/>
      <c r="E18" s="204">
        <f t="shared" si="3"/>
        <v>0</v>
      </c>
      <c r="F18" s="204">
        <f t="shared" si="1"/>
        <v>92.82</v>
      </c>
      <c r="G18" s="204">
        <f t="shared" si="4"/>
        <v>92.82</v>
      </c>
    </row>
    <row r="19" spans="1:7">
      <c r="A19" s="538" t="s">
        <v>335</v>
      </c>
      <c r="B19" s="55">
        <v>5.84</v>
      </c>
      <c r="C19" s="204"/>
      <c r="D19" s="204"/>
      <c r="E19" s="204">
        <f t="shared" si="3"/>
        <v>0</v>
      </c>
      <c r="F19" s="204">
        <f t="shared" si="1"/>
        <v>5.84</v>
      </c>
      <c r="G19" s="204">
        <f t="shared" si="4"/>
        <v>5.84</v>
      </c>
    </row>
    <row r="20" spans="1:7">
      <c r="A20" s="538" t="s">
        <v>336</v>
      </c>
      <c r="B20" s="55">
        <v>11.58</v>
      </c>
      <c r="C20" s="204"/>
      <c r="D20" s="204"/>
      <c r="E20" s="204">
        <f t="shared" si="3"/>
        <v>0</v>
      </c>
      <c r="F20" s="204">
        <f t="shared" si="1"/>
        <v>11.58</v>
      </c>
      <c r="G20" s="204">
        <f t="shared" si="4"/>
        <v>11.58</v>
      </c>
    </row>
    <row r="21" spans="1:7">
      <c r="A21" s="538" t="s">
        <v>337</v>
      </c>
      <c r="B21" s="55">
        <v>1.2</v>
      </c>
      <c r="C21" s="204">
        <v>50.39</v>
      </c>
      <c r="D21" s="204"/>
      <c r="E21" s="204">
        <f t="shared" si="3"/>
        <v>50.39</v>
      </c>
      <c r="F21" s="204">
        <f t="shared" si="1"/>
        <v>-49.19</v>
      </c>
      <c r="G21" s="204">
        <f t="shared" si="4"/>
        <v>0</v>
      </c>
    </row>
    <row r="22" spans="1:7">
      <c r="A22" s="538" t="s">
        <v>338</v>
      </c>
      <c r="B22" s="204">
        <v>1.2</v>
      </c>
      <c r="C22" s="204"/>
      <c r="D22" s="204"/>
      <c r="E22" s="204">
        <f t="shared" si="3"/>
        <v>0</v>
      </c>
      <c r="F22" s="204">
        <f t="shared" si="1"/>
        <v>1.2</v>
      </c>
      <c r="G22" s="204">
        <f t="shared" si="4"/>
        <v>1.2</v>
      </c>
    </row>
    <row r="23" spans="1:7">
      <c r="A23" s="538" t="s">
        <v>339</v>
      </c>
      <c r="B23" s="204">
        <v>0.64</v>
      </c>
      <c r="C23" s="204"/>
      <c r="D23" s="204"/>
      <c r="E23" s="204">
        <f t="shared" si="3"/>
        <v>0</v>
      </c>
      <c r="F23" s="204">
        <f t="shared" si="1"/>
        <v>0.64</v>
      </c>
      <c r="G23" s="204">
        <f t="shared" si="4"/>
        <v>0.64</v>
      </c>
    </row>
    <row r="24" spans="1:7">
      <c r="A24" s="538" t="s">
        <v>340</v>
      </c>
      <c r="B24" s="55">
        <v>4.83</v>
      </c>
      <c r="C24" s="204"/>
      <c r="D24" s="204"/>
      <c r="E24" s="204">
        <f t="shared" si="3"/>
        <v>0</v>
      </c>
      <c r="F24" s="204">
        <f t="shared" si="1"/>
        <v>4.83</v>
      </c>
      <c r="G24" s="204">
        <f t="shared" si="4"/>
        <v>4.83</v>
      </c>
    </row>
    <row r="25" spans="1:7">
      <c r="A25" s="538" t="s">
        <v>341</v>
      </c>
      <c r="B25" s="204">
        <v>0.45</v>
      </c>
      <c r="C25" s="204"/>
      <c r="D25" s="204"/>
      <c r="E25" s="204">
        <f t="shared" si="3"/>
        <v>0</v>
      </c>
      <c r="F25" s="204">
        <f t="shared" si="1"/>
        <v>0.45</v>
      </c>
      <c r="G25" s="204">
        <f t="shared" si="4"/>
        <v>0.45</v>
      </c>
    </row>
    <row r="26" spans="1:7">
      <c r="A26" s="538" t="s">
        <v>342</v>
      </c>
      <c r="B26" s="204">
        <v>0.37</v>
      </c>
      <c r="C26" s="204"/>
      <c r="D26" s="204"/>
      <c r="E26" s="204">
        <f t="shared" si="3"/>
        <v>0</v>
      </c>
      <c r="F26" s="204">
        <f t="shared" si="1"/>
        <v>0.37</v>
      </c>
      <c r="G26" s="204">
        <f t="shared" si="4"/>
        <v>0.37</v>
      </c>
    </row>
    <row r="27" spans="1:7">
      <c r="A27" s="538" t="s">
        <v>343</v>
      </c>
      <c r="B27" s="204">
        <v>1.83</v>
      </c>
      <c r="C27" s="204"/>
      <c r="D27" s="204"/>
      <c r="E27" s="204">
        <f t="shared" si="3"/>
        <v>0</v>
      </c>
      <c r="F27" s="204">
        <f t="shared" si="1"/>
        <v>1.83</v>
      </c>
      <c r="G27" s="204">
        <f t="shared" si="4"/>
        <v>1.83</v>
      </c>
    </row>
    <row r="28" spans="1:7">
      <c r="A28" s="538" t="s">
        <v>344</v>
      </c>
      <c r="B28" s="55">
        <v>13.44</v>
      </c>
      <c r="C28" s="204"/>
      <c r="D28" s="204"/>
      <c r="E28" s="204">
        <f t="shared" si="3"/>
        <v>0</v>
      </c>
      <c r="F28" s="204">
        <f t="shared" si="1"/>
        <v>13.44</v>
      </c>
      <c r="G28" s="204">
        <f t="shared" si="4"/>
        <v>13.44</v>
      </c>
    </row>
    <row r="29" spans="1:7">
      <c r="A29" s="538" t="s">
        <v>345</v>
      </c>
      <c r="B29" s="55">
        <v>6.89</v>
      </c>
      <c r="C29" s="204"/>
      <c r="D29" s="204"/>
      <c r="E29" s="204">
        <f t="shared" si="3"/>
        <v>0</v>
      </c>
      <c r="F29" s="204">
        <f t="shared" si="1"/>
        <v>6.89</v>
      </c>
      <c r="G29" s="204">
        <f t="shared" si="4"/>
        <v>6.89</v>
      </c>
    </row>
    <row r="30" spans="1:7">
      <c r="A30" s="538" t="s">
        <v>346</v>
      </c>
      <c r="B30" s="55">
        <v>28.45</v>
      </c>
      <c r="C30" s="204">
        <v>68.42</v>
      </c>
      <c r="D30" s="204"/>
      <c r="E30" s="204">
        <f t="shared" si="3"/>
        <v>68.42</v>
      </c>
      <c r="F30" s="204">
        <f t="shared" si="1"/>
        <v>-39.97</v>
      </c>
      <c r="G30" s="204">
        <f t="shared" si="4"/>
        <v>0</v>
      </c>
    </row>
    <row r="31" spans="1:7">
      <c r="A31" s="538" t="s">
        <v>347</v>
      </c>
      <c r="B31" s="204">
        <v>2.75</v>
      </c>
      <c r="C31" s="204"/>
      <c r="D31" s="204"/>
      <c r="E31" s="204">
        <f t="shared" si="3"/>
        <v>0</v>
      </c>
      <c r="F31" s="204">
        <f t="shared" si="1"/>
        <v>2.75</v>
      </c>
      <c r="G31" s="204">
        <f t="shared" si="4"/>
        <v>2.75</v>
      </c>
    </row>
    <row r="32" spans="1:7">
      <c r="A32" s="538" t="s">
        <v>348</v>
      </c>
      <c r="B32" s="55">
        <v>5.35</v>
      </c>
      <c r="C32" s="204"/>
      <c r="D32" s="204"/>
      <c r="E32" s="204">
        <f t="shared" si="3"/>
        <v>0</v>
      </c>
      <c r="F32" s="204">
        <f t="shared" si="1"/>
        <v>5.35</v>
      </c>
      <c r="G32" s="204">
        <f t="shared" si="4"/>
        <v>5.35</v>
      </c>
    </row>
    <row r="33" spans="1:7" s="423" customFormat="1">
      <c r="A33" s="538" t="s">
        <v>349</v>
      </c>
      <c r="B33" s="55">
        <v>0.33</v>
      </c>
      <c r="C33" s="204"/>
      <c r="D33" s="204"/>
      <c r="E33" s="204">
        <f t="shared" si="3"/>
        <v>0</v>
      </c>
      <c r="F33" s="204">
        <f t="shared" si="1"/>
        <v>0.33</v>
      </c>
      <c r="G33" s="204">
        <f t="shared" si="4"/>
        <v>0.33</v>
      </c>
    </row>
    <row r="34" spans="1:7">
      <c r="A34" s="538" t="s">
        <v>350</v>
      </c>
      <c r="B34" s="55">
        <v>0.92</v>
      </c>
      <c r="C34" s="204"/>
      <c r="D34" s="204"/>
      <c r="E34" s="204">
        <f t="shared" si="3"/>
        <v>0</v>
      </c>
      <c r="F34" s="204">
        <f t="shared" si="1"/>
        <v>0.92</v>
      </c>
      <c r="G34" s="204">
        <f t="shared" si="4"/>
        <v>0.92</v>
      </c>
    </row>
    <row r="35" spans="1:7">
      <c r="A35" s="538" t="s">
        <v>351</v>
      </c>
      <c r="B35" s="55">
        <v>0.2</v>
      </c>
      <c r="C35" s="204"/>
      <c r="D35" s="204"/>
      <c r="E35" s="204">
        <f t="shared" si="3"/>
        <v>0</v>
      </c>
      <c r="F35" s="204">
        <f t="shared" si="1"/>
        <v>0.2</v>
      </c>
      <c r="G35" s="204">
        <f t="shared" si="4"/>
        <v>0.2</v>
      </c>
    </row>
    <row r="36" spans="1:7">
      <c r="A36" s="423" t="s">
        <v>352</v>
      </c>
      <c r="B36" s="56">
        <v>16.54</v>
      </c>
      <c r="C36" s="200"/>
      <c r="D36" s="200"/>
      <c r="E36" s="200">
        <f t="shared" si="3"/>
        <v>0</v>
      </c>
      <c r="F36" s="200">
        <f t="shared" si="1"/>
        <v>16.54</v>
      </c>
      <c r="G36" s="200">
        <f t="shared" si="4"/>
        <v>16.54</v>
      </c>
    </row>
    <row r="37" spans="1:7">
      <c r="A37" s="538" t="s">
        <v>353</v>
      </c>
      <c r="B37" s="55">
        <v>1.51</v>
      </c>
      <c r="C37" s="204"/>
      <c r="D37" s="204"/>
      <c r="E37" s="204">
        <f t="shared" si="3"/>
        <v>0</v>
      </c>
      <c r="F37" s="204">
        <f t="shared" si="1"/>
        <v>1.51</v>
      </c>
      <c r="G37" s="204">
        <f t="shared" si="4"/>
        <v>1.51</v>
      </c>
    </row>
    <row r="38" spans="1:7">
      <c r="A38" s="538" t="s">
        <v>354</v>
      </c>
      <c r="B38" s="204">
        <v>0.66</v>
      </c>
      <c r="C38" s="204"/>
      <c r="D38" s="204"/>
      <c r="E38" s="204">
        <f t="shared" si="3"/>
        <v>0</v>
      </c>
      <c r="F38" s="204">
        <f t="shared" si="1"/>
        <v>0.66</v>
      </c>
      <c r="G38" s="204">
        <f t="shared" si="4"/>
        <v>0.66</v>
      </c>
    </row>
    <row r="39" spans="1:7">
      <c r="A39" s="538" t="s">
        <v>355</v>
      </c>
      <c r="B39" s="55">
        <v>1.1299999999999999</v>
      </c>
      <c r="C39" s="204"/>
      <c r="D39" s="204"/>
      <c r="E39" s="204">
        <f t="shared" si="3"/>
        <v>0</v>
      </c>
      <c r="F39" s="204">
        <f t="shared" si="1"/>
        <v>1.1299999999999999</v>
      </c>
      <c r="G39" s="204">
        <f t="shared" si="4"/>
        <v>1.1299999999999999</v>
      </c>
    </row>
    <row r="40" spans="1:7">
      <c r="A40" s="538" t="s">
        <v>356</v>
      </c>
      <c r="B40" s="55">
        <v>11.23</v>
      </c>
      <c r="C40" s="204">
        <v>3.1</v>
      </c>
      <c r="D40" s="204"/>
      <c r="E40" s="204">
        <f t="shared" si="3"/>
        <v>3.1</v>
      </c>
      <c r="F40" s="204">
        <f t="shared" si="1"/>
        <v>8.1300000000000008</v>
      </c>
      <c r="G40" s="204">
        <f t="shared" si="4"/>
        <v>8.1300000000000008</v>
      </c>
    </row>
    <row r="41" spans="1:7" s="423" customFormat="1" ht="16.5" customHeight="1">
      <c r="A41" s="423" t="s">
        <v>357</v>
      </c>
      <c r="B41" s="56">
        <v>0.15</v>
      </c>
      <c r="C41" s="200"/>
      <c r="D41" s="200"/>
      <c r="E41" s="200">
        <f t="shared" si="3"/>
        <v>0</v>
      </c>
      <c r="F41" s="200">
        <f t="shared" si="1"/>
        <v>0.15</v>
      </c>
      <c r="G41" s="200">
        <f t="shared" si="4"/>
        <v>0.15</v>
      </c>
    </row>
    <row r="42" spans="1:7">
      <c r="A42" s="538" t="s">
        <v>358</v>
      </c>
      <c r="B42" s="55">
        <v>3.93</v>
      </c>
      <c r="C42" s="204"/>
      <c r="D42" s="204">
        <v>0.23</v>
      </c>
      <c r="E42" s="204">
        <f t="shared" si="3"/>
        <v>-0.23</v>
      </c>
      <c r="F42" s="204">
        <f t="shared" si="1"/>
        <v>4.16</v>
      </c>
      <c r="G42" s="204">
        <f t="shared" si="4"/>
        <v>4.16</v>
      </c>
    </row>
    <row r="43" spans="1:7">
      <c r="A43" s="538" t="s">
        <v>359</v>
      </c>
      <c r="B43" s="55">
        <v>1.52</v>
      </c>
      <c r="C43" s="204"/>
      <c r="D43" s="204"/>
      <c r="E43" s="204">
        <f t="shared" si="3"/>
        <v>0</v>
      </c>
      <c r="F43" s="204">
        <f t="shared" si="1"/>
        <v>1.52</v>
      </c>
      <c r="G43" s="204">
        <f t="shared" si="4"/>
        <v>1.52</v>
      </c>
    </row>
    <row r="44" spans="1:7" s="423" customFormat="1">
      <c r="A44" s="423" t="s">
        <v>360</v>
      </c>
      <c r="B44" s="56">
        <v>0.45</v>
      </c>
      <c r="C44" s="200"/>
      <c r="D44" s="200"/>
      <c r="E44" s="200">
        <f t="shared" si="3"/>
        <v>0</v>
      </c>
      <c r="F44" s="200">
        <f t="shared" si="1"/>
        <v>0.45</v>
      </c>
      <c r="G44" s="200">
        <f t="shared" si="4"/>
        <v>0.45</v>
      </c>
    </row>
    <row r="45" spans="1:7">
      <c r="A45" s="538" t="s">
        <v>361</v>
      </c>
      <c r="B45" s="55">
        <v>5.21</v>
      </c>
      <c r="C45" s="204"/>
      <c r="D45" s="204"/>
      <c r="E45" s="204">
        <f t="shared" si="3"/>
        <v>0</v>
      </c>
      <c r="F45" s="204">
        <f t="shared" si="1"/>
        <v>5.21</v>
      </c>
      <c r="G45" s="204">
        <f t="shared" si="4"/>
        <v>5.21</v>
      </c>
    </row>
    <row r="46" spans="1:7">
      <c r="A46" s="538" t="s">
        <v>362</v>
      </c>
      <c r="B46" s="204">
        <v>0.15</v>
      </c>
      <c r="C46" s="204"/>
      <c r="D46" s="204"/>
      <c r="E46" s="204">
        <f t="shared" si="3"/>
        <v>0</v>
      </c>
      <c r="F46" s="204">
        <f t="shared" si="1"/>
        <v>0.15</v>
      </c>
      <c r="G46" s="204">
        <f t="shared" si="4"/>
        <v>0.15</v>
      </c>
    </row>
    <row r="47" spans="1:7">
      <c r="A47" s="538" t="s">
        <v>363</v>
      </c>
      <c r="B47" s="204">
        <v>4.95</v>
      </c>
      <c r="C47" s="204"/>
      <c r="D47" s="204"/>
      <c r="E47" s="204">
        <f t="shared" si="3"/>
        <v>0</v>
      </c>
      <c r="F47" s="204">
        <f t="shared" si="1"/>
        <v>4.95</v>
      </c>
      <c r="G47" s="204">
        <f t="shared" si="4"/>
        <v>4.95</v>
      </c>
    </row>
    <row r="48" spans="1:7">
      <c r="A48" s="538" t="s">
        <v>364</v>
      </c>
      <c r="B48" s="204">
        <v>4.17</v>
      </c>
      <c r="C48" s="204"/>
      <c r="D48" s="204"/>
      <c r="E48" s="204">
        <f t="shared" si="3"/>
        <v>0</v>
      </c>
      <c r="F48" s="204">
        <f t="shared" si="1"/>
        <v>4.17</v>
      </c>
      <c r="G48" s="204">
        <f t="shared" si="4"/>
        <v>4.17</v>
      </c>
    </row>
    <row r="49" spans="1:7">
      <c r="A49" s="538" t="s">
        <v>365</v>
      </c>
      <c r="B49" s="55">
        <v>8.7799999999999994</v>
      </c>
      <c r="C49" s="204"/>
      <c r="D49" s="204"/>
      <c r="E49" s="204">
        <f t="shared" si="3"/>
        <v>0</v>
      </c>
      <c r="F49" s="204">
        <f t="shared" si="1"/>
        <v>8.7799999999999994</v>
      </c>
      <c r="G49" s="204">
        <f t="shared" si="4"/>
        <v>8.7799999999999994</v>
      </c>
    </row>
    <row r="50" spans="1:7">
      <c r="A50" s="538" t="s">
        <v>366</v>
      </c>
      <c r="B50" s="55">
        <v>6.39</v>
      </c>
      <c r="C50" s="204">
        <v>11.31</v>
      </c>
      <c r="D50" s="204"/>
      <c r="E50" s="204">
        <f t="shared" si="3"/>
        <v>11.31</v>
      </c>
      <c r="F50" s="204">
        <f t="shared" si="1"/>
        <v>-4.92</v>
      </c>
      <c r="G50" s="204">
        <f t="shared" si="4"/>
        <v>0</v>
      </c>
    </row>
    <row r="51" spans="1:7">
      <c r="A51" s="538" t="s">
        <v>367</v>
      </c>
      <c r="B51" s="204">
        <v>3.47</v>
      </c>
      <c r="C51" s="204"/>
      <c r="D51" s="204"/>
      <c r="E51" s="204">
        <f t="shared" si="3"/>
        <v>0</v>
      </c>
      <c r="F51" s="204">
        <f t="shared" si="1"/>
        <v>3.47</v>
      </c>
      <c r="G51" s="204">
        <f t="shared" si="4"/>
        <v>3.47</v>
      </c>
    </row>
    <row r="52" spans="1:7">
      <c r="A52" s="538" t="s">
        <v>368</v>
      </c>
      <c r="B52" s="55">
        <v>1.98</v>
      </c>
      <c r="C52" s="204"/>
      <c r="D52" s="204"/>
      <c r="E52" s="204">
        <f t="shared" si="3"/>
        <v>0</v>
      </c>
      <c r="F52" s="204">
        <f t="shared" si="1"/>
        <v>1.98</v>
      </c>
      <c r="G52" s="204">
        <f t="shared" si="4"/>
        <v>1.98</v>
      </c>
    </row>
    <row r="53" spans="1:7">
      <c r="A53" s="538" t="s">
        <v>369</v>
      </c>
      <c r="B53" s="204">
        <v>0.99</v>
      </c>
      <c r="C53" s="204"/>
      <c r="D53" s="204"/>
      <c r="E53" s="204">
        <f t="shared" si="3"/>
        <v>0</v>
      </c>
      <c r="F53" s="204">
        <f t="shared" si="1"/>
        <v>0.99</v>
      </c>
      <c r="G53" s="204">
        <f t="shared" si="4"/>
        <v>0.99</v>
      </c>
    </row>
    <row r="54" spans="1:7">
      <c r="A54" s="538" t="s">
        <v>370</v>
      </c>
      <c r="B54" s="204">
        <v>0.87</v>
      </c>
      <c r="C54" s="204"/>
      <c r="D54" s="204"/>
      <c r="E54" s="204">
        <f t="shared" si="3"/>
        <v>0</v>
      </c>
      <c r="F54" s="204">
        <f t="shared" si="1"/>
        <v>0.87</v>
      </c>
      <c r="G54" s="204">
        <f t="shared" si="4"/>
        <v>0.87</v>
      </c>
    </row>
    <row r="55" spans="1:7">
      <c r="A55" s="538" t="s">
        <v>371</v>
      </c>
      <c r="B55" s="55">
        <v>1.44</v>
      </c>
      <c r="C55" s="204"/>
      <c r="D55" s="204"/>
      <c r="E55" s="204">
        <f t="shared" si="3"/>
        <v>0</v>
      </c>
      <c r="F55" s="204">
        <f t="shared" si="1"/>
        <v>1.44</v>
      </c>
      <c r="G55" s="204">
        <f t="shared" si="4"/>
        <v>1.44</v>
      </c>
    </row>
    <row r="56" spans="1:7">
      <c r="A56" s="538" t="s">
        <v>92</v>
      </c>
      <c r="B56" s="55">
        <f>1.31+5.582</f>
        <v>6.89</v>
      </c>
      <c r="C56" s="204">
        <v>19.2</v>
      </c>
      <c r="D56" s="204"/>
      <c r="E56" s="204">
        <f t="shared" si="3"/>
        <v>19.2</v>
      </c>
      <c r="F56" s="204">
        <f t="shared" si="1"/>
        <v>-12.31</v>
      </c>
      <c r="G56" s="204">
        <f t="shared" si="4"/>
        <v>0</v>
      </c>
    </row>
    <row r="57" spans="1:7">
      <c r="A57" s="538" t="s">
        <v>372</v>
      </c>
      <c r="B57" s="204">
        <f>4.17+5.195534+242</f>
        <v>251.37</v>
      </c>
      <c r="C57" s="204"/>
      <c r="D57" s="204"/>
      <c r="E57" s="204">
        <f t="shared" si="3"/>
        <v>0</v>
      </c>
      <c r="F57" s="204">
        <f t="shared" si="1"/>
        <v>251.37</v>
      </c>
      <c r="G57" s="204">
        <f t="shared" si="4"/>
        <v>251.37</v>
      </c>
    </row>
    <row r="58" spans="1:7">
      <c r="A58" s="538" t="s">
        <v>373</v>
      </c>
      <c r="B58" s="55">
        <v>4.96</v>
      </c>
      <c r="C58" s="204"/>
      <c r="D58" s="204"/>
      <c r="E58" s="204">
        <f t="shared" si="3"/>
        <v>0</v>
      </c>
      <c r="F58" s="204">
        <f t="shared" si="1"/>
        <v>4.96</v>
      </c>
      <c r="G58" s="204">
        <f t="shared" si="4"/>
        <v>4.96</v>
      </c>
    </row>
    <row r="59" spans="1:7">
      <c r="A59" s="538" t="s">
        <v>374</v>
      </c>
      <c r="B59" s="538">
        <v>0.4</v>
      </c>
      <c r="F59" s="28"/>
    </row>
    <row r="61" spans="1:7">
      <c r="A61" s="538" t="s">
        <v>375</v>
      </c>
      <c r="B61" s="55">
        <f>SUM(B2:B59)</f>
        <v>599.4</v>
      </c>
      <c r="C61" s="55">
        <f>SUM(C2:C59)</f>
        <v>182.7</v>
      </c>
      <c r="D61" s="55">
        <f>SUM(D2:D59)</f>
        <v>2.1800000000000002</v>
      </c>
      <c r="E61" s="55">
        <f>SUM(E2:E59)</f>
        <v>180.52</v>
      </c>
      <c r="F61" s="55">
        <f>SUM(F2:F58)</f>
        <v>418.48</v>
      </c>
      <c r="G61" s="32">
        <f>SUM(G2:G58)</f>
        <v>536.28</v>
      </c>
    </row>
    <row r="62" spans="1:7">
      <c r="B62" s="204"/>
    </row>
    <row r="63" spans="1:7">
      <c r="A63" s="538" t="s">
        <v>376</v>
      </c>
    </row>
    <row r="70" spans="3:3">
      <c r="C70" s="204"/>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E15" sqref="E15"/>
    </sheetView>
  </sheetViews>
  <sheetFormatPr defaultColWidth="8.85546875" defaultRowHeight="15"/>
  <cols>
    <col min="1" max="1" width="53.85546875" bestFit="1" customWidth="1"/>
  </cols>
  <sheetData>
    <row r="1" spans="1:5">
      <c r="A1" s="538" t="s">
        <v>23</v>
      </c>
      <c r="B1" s="538">
        <v>2016</v>
      </c>
      <c r="C1" s="538">
        <v>2017</v>
      </c>
      <c r="D1" s="538">
        <v>2018</v>
      </c>
      <c r="E1" s="538">
        <v>2019</v>
      </c>
    </row>
    <row r="2" spans="1:5">
      <c r="A2" s="538" t="s">
        <v>24</v>
      </c>
      <c r="B2" s="539">
        <v>-411.6</v>
      </c>
      <c r="C2" s="539">
        <v>-377.2</v>
      </c>
      <c r="D2" s="539">
        <v>-376.1</v>
      </c>
      <c r="E2" s="539">
        <v>-526.20000000000005</v>
      </c>
    </row>
    <row r="3" spans="1:5">
      <c r="A3" s="538" t="s">
        <v>25</v>
      </c>
      <c r="B3" s="539">
        <v>1669.1</v>
      </c>
      <c r="C3" s="539">
        <v>1606</v>
      </c>
      <c r="D3" s="539">
        <v>1609.3</v>
      </c>
      <c r="E3" s="539">
        <v>1562.8</v>
      </c>
    </row>
    <row r="4" spans="1:5">
      <c r="A4" s="538" t="s">
        <v>26</v>
      </c>
      <c r="B4" s="539">
        <v>2079.1</v>
      </c>
      <c r="C4" s="539">
        <v>2164.6</v>
      </c>
      <c r="D4" s="539">
        <v>2227.5</v>
      </c>
      <c r="E4" s="539">
        <v>2326.6</v>
      </c>
    </row>
    <row r="5" spans="1:5">
      <c r="A5" s="538" t="s">
        <v>27</v>
      </c>
      <c r="B5" s="539">
        <v>-470.9</v>
      </c>
      <c r="C5" s="539">
        <v>-478.4</v>
      </c>
      <c r="D5" s="539">
        <v>-486.6</v>
      </c>
      <c r="E5" s="539">
        <v>-540.20000000000005</v>
      </c>
    </row>
    <row r="6" spans="1:5">
      <c r="A6" s="538" t="s">
        <v>28</v>
      </c>
      <c r="B6" s="539">
        <v>3080.9</v>
      </c>
      <c r="C6" s="539">
        <v>3040.3</v>
      </c>
      <c r="D6" s="539">
        <v>3106.6</v>
      </c>
      <c r="E6" s="539">
        <v>3168.2</v>
      </c>
    </row>
    <row r="7" spans="1:5">
      <c r="A7" s="538" t="s">
        <v>29</v>
      </c>
      <c r="B7" s="539">
        <v>-442.9</v>
      </c>
      <c r="C7" s="539">
        <v>-447.5</v>
      </c>
      <c r="D7" s="539">
        <v>-435</v>
      </c>
      <c r="E7" s="539">
        <v>-513.29999999999995</v>
      </c>
    </row>
    <row r="8" spans="1:5">
      <c r="A8" s="538" t="s">
        <v>30</v>
      </c>
      <c r="B8" s="539">
        <v>-65</v>
      </c>
      <c r="C8" s="539">
        <v>-75.900000000000006</v>
      </c>
      <c r="D8" s="539">
        <v>-80.900000000000006</v>
      </c>
      <c r="E8" s="539">
        <v>-85.3</v>
      </c>
    </row>
    <row r="9" spans="1:5">
      <c r="A9" s="538"/>
      <c r="B9" s="539"/>
      <c r="C9" s="539"/>
      <c r="D9" s="539"/>
      <c r="E9" s="539"/>
    </row>
    <row r="10" spans="1:5">
      <c r="A10" s="538" t="s">
        <v>31</v>
      </c>
      <c r="B10" s="539">
        <v>-5.7</v>
      </c>
      <c r="C10" s="539">
        <v>-2.4</v>
      </c>
      <c r="D10" s="539">
        <v>50.9</v>
      </c>
      <c r="E10" s="539">
        <v>-5.3</v>
      </c>
    </row>
    <row r="11" spans="1:5">
      <c r="A11" s="538" t="s">
        <v>32</v>
      </c>
      <c r="B11" s="539">
        <v>-5.7</v>
      </c>
      <c r="C11" s="539">
        <v>-2.4</v>
      </c>
      <c r="D11" s="539">
        <v>-5.9</v>
      </c>
      <c r="E11" s="539">
        <v>-5.3</v>
      </c>
    </row>
    <row r="12" spans="1:5">
      <c r="A12" s="538" t="s">
        <v>33</v>
      </c>
      <c r="B12" s="539">
        <v>0</v>
      </c>
      <c r="C12" s="539">
        <v>0</v>
      </c>
      <c r="D12" s="539">
        <v>56.8</v>
      </c>
      <c r="E12" s="539">
        <v>0</v>
      </c>
    </row>
    <row r="13" spans="1:5">
      <c r="A13" s="538"/>
      <c r="B13" s="539"/>
      <c r="C13" s="539"/>
      <c r="D13" s="539"/>
      <c r="E13" s="539"/>
    </row>
    <row r="14" spans="1:5">
      <c r="A14" s="538" t="s">
        <v>34</v>
      </c>
      <c r="B14" s="539">
        <v>330.7</v>
      </c>
      <c r="C14" s="539">
        <v>358.3</v>
      </c>
      <c r="D14" s="539">
        <v>170.2</v>
      </c>
      <c r="E14" s="539">
        <v>-24.1</v>
      </c>
    </row>
    <row r="15" spans="1:5">
      <c r="A15" s="538" t="s">
        <v>35</v>
      </c>
      <c r="B15" s="539">
        <v>101</v>
      </c>
      <c r="C15" s="539">
        <v>111.4</v>
      </c>
      <c r="D15" s="539">
        <v>653.9</v>
      </c>
      <c r="E15" s="539">
        <v>655.5</v>
      </c>
    </row>
    <row r="16" spans="1:5">
      <c r="A16" s="538" t="s">
        <v>36</v>
      </c>
      <c r="B16" s="539">
        <v>51</v>
      </c>
      <c r="C16" s="539">
        <v>111.4</v>
      </c>
      <c r="D16" s="539">
        <v>65.8</v>
      </c>
      <c r="E16" s="539">
        <v>99.8</v>
      </c>
    </row>
    <row r="17" spans="1:5">
      <c r="A17" s="538" t="s">
        <v>37</v>
      </c>
      <c r="B17" s="539">
        <v>50</v>
      </c>
      <c r="C17" s="539">
        <v>0</v>
      </c>
      <c r="D17" s="539">
        <v>350</v>
      </c>
      <c r="E17" s="539">
        <v>0</v>
      </c>
    </row>
    <row r="18" spans="1:5">
      <c r="A18" s="538" t="s">
        <v>38</v>
      </c>
      <c r="B18" s="539">
        <v>0</v>
      </c>
      <c r="C18" s="539">
        <v>0</v>
      </c>
      <c r="D18" s="539">
        <v>238.1</v>
      </c>
      <c r="E18" s="539">
        <v>555.70000000000005</v>
      </c>
    </row>
    <row r="19" spans="1:5">
      <c r="A19" s="538" t="s">
        <v>39</v>
      </c>
      <c r="B19" s="539">
        <v>-245.8</v>
      </c>
      <c r="C19" s="539">
        <v>-273.89999999999998</v>
      </c>
      <c r="D19" s="539">
        <v>494.7</v>
      </c>
      <c r="E19" s="539">
        <v>717.7</v>
      </c>
    </row>
    <row r="20" spans="1:5">
      <c r="A20" s="538" t="s">
        <v>40</v>
      </c>
      <c r="B20" s="539">
        <v>376.7</v>
      </c>
      <c r="C20" s="539">
        <v>468.2</v>
      </c>
      <c r="D20" s="539">
        <v>363.6</v>
      </c>
      <c r="E20" s="539">
        <v>375.3</v>
      </c>
    </row>
    <row r="21" spans="1:5">
      <c r="A21" s="538" t="s">
        <v>41</v>
      </c>
      <c r="B21" s="539">
        <v>-392.8</v>
      </c>
      <c r="C21" s="539">
        <v>-495.2</v>
      </c>
      <c r="D21" s="539">
        <v>-352.6</v>
      </c>
      <c r="E21" s="539">
        <v>-337.2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K57"/>
  <sheetViews>
    <sheetView topLeftCell="A25" workbookViewId="0">
      <selection activeCell="I54" sqref="I54"/>
    </sheetView>
  </sheetViews>
  <sheetFormatPr defaultColWidth="8.85546875" defaultRowHeight="15"/>
  <cols>
    <col min="3" max="3" width="13.42578125" bestFit="1" customWidth="1"/>
    <col min="4" max="4" width="11.42578125" bestFit="1" customWidth="1"/>
    <col min="8" max="8" width="14.42578125" bestFit="1" customWidth="1"/>
    <col min="10" max="10" width="15.140625" bestFit="1" customWidth="1"/>
    <col min="11" max="11" width="35" bestFit="1" customWidth="1"/>
  </cols>
  <sheetData>
    <row r="25" spans="2:11">
      <c r="I25" s="449"/>
    </row>
    <row r="26" spans="2:11">
      <c r="C26" t="s">
        <v>42</v>
      </c>
      <c r="D26" t="s">
        <v>43</v>
      </c>
      <c r="E26" t="s">
        <v>44</v>
      </c>
      <c r="F26" s="449" t="s">
        <v>45</v>
      </c>
      <c r="G26" t="s">
        <v>46</v>
      </c>
      <c r="H26" t="s">
        <v>47</v>
      </c>
      <c r="I26" s="449" t="s">
        <v>45</v>
      </c>
      <c r="J26" s="450" t="s">
        <v>48</v>
      </c>
      <c r="K26" t="s">
        <v>49</v>
      </c>
    </row>
    <row r="27" spans="2:11">
      <c r="B27" s="450">
        <v>2012</v>
      </c>
      <c r="C27">
        <v>570.29999999999995</v>
      </c>
      <c r="D27">
        <v>255.7</v>
      </c>
      <c r="E27">
        <v>5</v>
      </c>
      <c r="F27" s="449">
        <f>SUM(C27:E27)</f>
        <v>831</v>
      </c>
      <c r="G27">
        <v>515.1</v>
      </c>
      <c r="H27">
        <v>33.200000000000003</v>
      </c>
      <c r="I27" s="449">
        <f>SUM(G27:H27)</f>
        <v>548.29999999999995</v>
      </c>
      <c r="J27" s="450">
        <f>F27-I27</f>
        <v>282.7</v>
      </c>
      <c r="K27">
        <v>7.7</v>
      </c>
    </row>
    <row r="28" spans="2:11">
      <c r="B28" s="450">
        <v>2013</v>
      </c>
      <c r="C28">
        <v>598</v>
      </c>
      <c r="D28">
        <v>295.89999999999998</v>
      </c>
      <c r="E28">
        <v>5</v>
      </c>
      <c r="F28" s="449">
        <f t="shared" ref="F28:F41" si="0">SUM(C28:E28)</f>
        <v>898.9</v>
      </c>
      <c r="G28">
        <v>564.1</v>
      </c>
      <c r="H28">
        <v>29.2</v>
      </c>
      <c r="I28" s="449">
        <f t="shared" ref="I28:I41" si="1">SUM(G28:H28)</f>
        <v>593.29999999999995</v>
      </c>
      <c r="J28" s="450">
        <f t="shared" ref="J28:J41" si="2">F28-I28</f>
        <v>305.60000000000002</v>
      </c>
      <c r="K28">
        <v>7.6</v>
      </c>
    </row>
    <row r="29" spans="2:11">
      <c r="B29" s="450">
        <v>2014</v>
      </c>
      <c r="C29">
        <v>532.1</v>
      </c>
      <c r="D29">
        <v>234.5</v>
      </c>
      <c r="E29">
        <v>5.6</v>
      </c>
      <c r="F29" s="449">
        <f t="shared" si="0"/>
        <v>772.2</v>
      </c>
      <c r="G29">
        <v>560.6</v>
      </c>
      <c r="H29">
        <v>27.3</v>
      </c>
      <c r="I29" s="449">
        <f t="shared" si="1"/>
        <v>587.9</v>
      </c>
      <c r="J29" s="450">
        <f t="shared" si="2"/>
        <v>184.3</v>
      </c>
      <c r="K29">
        <v>8</v>
      </c>
    </row>
    <row r="30" spans="2:11">
      <c r="B30" s="450">
        <v>2015</v>
      </c>
      <c r="C30">
        <v>546.20000000000005</v>
      </c>
      <c r="D30">
        <v>286.7</v>
      </c>
      <c r="E30">
        <v>24.3</v>
      </c>
      <c r="F30" s="449">
        <f t="shared" si="0"/>
        <v>857.2</v>
      </c>
      <c r="G30">
        <v>538.4</v>
      </c>
      <c r="H30">
        <v>72.7</v>
      </c>
      <c r="I30" s="449">
        <f t="shared" si="1"/>
        <v>611.1</v>
      </c>
      <c r="J30" s="450">
        <f t="shared" si="2"/>
        <v>246.1</v>
      </c>
      <c r="K30">
        <v>8</v>
      </c>
    </row>
    <row r="31" spans="2:11">
      <c r="B31" s="450">
        <v>2016</v>
      </c>
      <c r="C31">
        <v>546.6</v>
      </c>
      <c r="D31">
        <v>289.10000000000002</v>
      </c>
      <c r="E31">
        <v>4.9000000000000004</v>
      </c>
      <c r="F31" s="449">
        <f t="shared" si="0"/>
        <v>840.6</v>
      </c>
      <c r="G31">
        <v>571</v>
      </c>
      <c r="H31">
        <v>74</v>
      </c>
      <c r="I31" s="449">
        <f t="shared" si="1"/>
        <v>645</v>
      </c>
      <c r="J31" s="450">
        <f t="shared" si="2"/>
        <v>195.6</v>
      </c>
      <c r="K31">
        <v>7.8</v>
      </c>
    </row>
    <row r="32" spans="2:11">
      <c r="B32" s="450">
        <v>2017</v>
      </c>
      <c r="C32">
        <v>52.1</v>
      </c>
      <c r="D32">
        <v>287.7</v>
      </c>
      <c r="E32">
        <v>5.0999999999999996</v>
      </c>
      <c r="F32" s="449">
        <f t="shared" si="0"/>
        <v>344.9</v>
      </c>
      <c r="G32">
        <v>607.9</v>
      </c>
      <c r="H32">
        <v>75</v>
      </c>
      <c r="I32" s="449">
        <f t="shared" si="1"/>
        <v>682.9</v>
      </c>
      <c r="J32" s="450">
        <f t="shared" si="2"/>
        <v>-338</v>
      </c>
      <c r="K32">
        <v>7.7</v>
      </c>
    </row>
    <row r="33" spans="2:11">
      <c r="B33" s="450">
        <v>2018</v>
      </c>
      <c r="C33">
        <v>572.4</v>
      </c>
      <c r="D33">
        <v>285.89999999999998</v>
      </c>
      <c r="E33">
        <v>5.2</v>
      </c>
      <c r="F33" s="449">
        <f t="shared" si="0"/>
        <v>863.5</v>
      </c>
      <c r="G33">
        <v>613.4</v>
      </c>
      <c r="H33">
        <v>32.200000000000003</v>
      </c>
      <c r="I33" s="449">
        <f t="shared" si="1"/>
        <v>645.6</v>
      </c>
      <c r="J33" s="450">
        <f t="shared" si="2"/>
        <v>217.9</v>
      </c>
      <c r="K33">
        <v>8.4</v>
      </c>
    </row>
    <row r="34" spans="2:11">
      <c r="B34" s="450">
        <v>2019</v>
      </c>
      <c r="C34">
        <v>586.4</v>
      </c>
      <c r="D34">
        <v>284.3</v>
      </c>
      <c r="E34">
        <v>5.3</v>
      </c>
      <c r="F34" s="449">
        <f t="shared" si="0"/>
        <v>876</v>
      </c>
      <c r="G34">
        <v>630.4</v>
      </c>
      <c r="H34">
        <v>32.9</v>
      </c>
      <c r="I34" s="449">
        <f t="shared" si="1"/>
        <v>663.3</v>
      </c>
      <c r="J34" s="450">
        <f t="shared" si="2"/>
        <v>212.7</v>
      </c>
      <c r="K34">
        <v>8.5</v>
      </c>
    </row>
    <row r="35" spans="2:11">
      <c r="B35" s="450">
        <v>2020</v>
      </c>
      <c r="C35">
        <v>599.5</v>
      </c>
      <c r="D35">
        <v>281.10000000000002</v>
      </c>
      <c r="E35">
        <v>5.4</v>
      </c>
      <c r="F35" s="449">
        <f t="shared" si="0"/>
        <v>886</v>
      </c>
      <c r="G35">
        <v>651.79999999999995</v>
      </c>
      <c r="H35">
        <v>33.700000000000003</v>
      </c>
      <c r="I35" s="449">
        <f t="shared" si="1"/>
        <v>685.5</v>
      </c>
      <c r="J35" s="450">
        <f t="shared" si="2"/>
        <v>200.5</v>
      </c>
      <c r="K35">
        <v>8.6</v>
      </c>
    </row>
    <row r="36" spans="2:11">
      <c r="B36" s="450">
        <v>2024</v>
      </c>
      <c r="C36">
        <v>651.5</v>
      </c>
      <c r="D36">
        <v>316.8</v>
      </c>
      <c r="E36">
        <v>5.9</v>
      </c>
      <c r="F36" s="449">
        <f t="shared" si="0"/>
        <v>974.2</v>
      </c>
      <c r="G36">
        <v>777.7</v>
      </c>
      <c r="H36">
        <v>36.6</v>
      </c>
      <c r="I36" s="449">
        <f t="shared" si="1"/>
        <v>814.3</v>
      </c>
      <c r="J36" s="450">
        <f t="shared" si="2"/>
        <v>159.9</v>
      </c>
      <c r="K36">
        <v>8.1</v>
      </c>
    </row>
    <row r="37" spans="2:11">
      <c r="B37" s="450">
        <v>2034</v>
      </c>
      <c r="C37">
        <v>793.7</v>
      </c>
      <c r="D37">
        <v>348.4</v>
      </c>
      <c r="E37">
        <v>7.1</v>
      </c>
      <c r="F37" s="449">
        <f t="shared" si="0"/>
        <v>1149.2</v>
      </c>
      <c r="G37">
        <v>1157.5</v>
      </c>
      <c r="H37">
        <v>44.6</v>
      </c>
      <c r="I37" s="449">
        <f t="shared" si="1"/>
        <v>1202.0999999999999</v>
      </c>
      <c r="J37" s="450">
        <f t="shared" si="2"/>
        <v>-52.899999999999899</v>
      </c>
      <c r="K37">
        <v>5.9</v>
      </c>
    </row>
    <row r="38" spans="2:11">
      <c r="B38" s="450">
        <v>2044</v>
      </c>
      <c r="C38">
        <v>955</v>
      </c>
      <c r="D38">
        <v>249.7</v>
      </c>
      <c r="E38">
        <v>8.6</v>
      </c>
      <c r="F38" s="449">
        <f t="shared" si="0"/>
        <v>1213.3</v>
      </c>
      <c r="G38">
        <v>1527.2</v>
      </c>
      <c r="H38">
        <v>53.7</v>
      </c>
      <c r="I38" s="449">
        <f t="shared" si="1"/>
        <v>1580.9</v>
      </c>
      <c r="J38" s="450">
        <f t="shared" si="2"/>
        <v>-367.6</v>
      </c>
      <c r="K38">
        <v>3.1</v>
      </c>
    </row>
    <row r="39" spans="2:11">
      <c r="B39" s="450">
        <v>2054</v>
      </c>
      <c r="C39">
        <v>1195.9000000000001</v>
      </c>
      <c r="D39">
        <v>-37.200000000000003</v>
      </c>
      <c r="E39">
        <v>10.8</v>
      </c>
      <c r="F39" s="449">
        <f t="shared" si="0"/>
        <v>1169.5</v>
      </c>
      <c r="G39">
        <v>1957.1</v>
      </c>
      <c r="H39">
        <v>67.2</v>
      </c>
      <c r="I39" s="449">
        <f t="shared" si="1"/>
        <v>2024.3</v>
      </c>
      <c r="J39" s="450">
        <f t="shared" si="2"/>
        <v>-854.8</v>
      </c>
      <c r="K39">
        <v>-0.6</v>
      </c>
    </row>
    <row r="40" spans="2:11">
      <c r="B40" s="450">
        <v>2064</v>
      </c>
      <c r="C40">
        <v>1496.5</v>
      </c>
      <c r="D40">
        <v>-639.29999999999995</v>
      </c>
      <c r="E40">
        <v>13.5</v>
      </c>
      <c r="F40" s="449">
        <f t="shared" si="0"/>
        <v>870.7</v>
      </c>
      <c r="G40">
        <v>2494</v>
      </c>
      <c r="H40">
        <v>84.1</v>
      </c>
      <c r="I40" s="449">
        <f t="shared" si="1"/>
        <v>2578.1</v>
      </c>
      <c r="J40" s="450">
        <f t="shared" si="2"/>
        <v>-1707.4</v>
      </c>
      <c r="K40">
        <v>-5.4</v>
      </c>
    </row>
    <row r="41" spans="2:11">
      <c r="B41" s="450">
        <v>2074</v>
      </c>
      <c r="C41">
        <v>1860.3</v>
      </c>
      <c r="D41">
        <v>-1823.4</v>
      </c>
      <c r="E41">
        <v>16.7</v>
      </c>
      <c r="F41" s="449">
        <f t="shared" si="0"/>
        <v>53.599999999999902</v>
      </c>
      <c r="G41">
        <v>3239</v>
      </c>
      <c r="H41">
        <v>104.5</v>
      </c>
      <c r="I41" s="449">
        <f t="shared" si="1"/>
        <v>3343.5</v>
      </c>
      <c r="J41" s="450">
        <f t="shared" si="2"/>
        <v>-3289.9</v>
      </c>
      <c r="K41">
        <v>-11.7</v>
      </c>
    </row>
    <row r="45" spans="2:11">
      <c r="B45" t="s">
        <v>50</v>
      </c>
      <c r="C45" t="s">
        <v>51</v>
      </c>
    </row>
    <row r="46" spans="2:11">
      <c r="C46" t="s">
        <v>52</v>
      </c>
      <c r="E46" t="s">
        <v>58</v>
      </c>
    </row>
    <row r="47" spans="2:11">
      <c r="C47" t="s">
        <v>53</v>
      </c>
      <c r="E47" t="s">
        <v>59</v>
      </c>
    </row>
    <row r="49" spans="1:5">
      <c r="C49" t="s">
        <v>57</v>
      </c>
    </row>
    <row r="50" spans="1:5" s="538" customFormat="1">
      <c r="D50" s="538" t="s">
        <v>60</v>
      </c>
      <c r="E50" s="538">
        <v>1</v>
      </c>
    </row>
    <row r="51" spans="1:5">
      <c r="D51" t="s">
        <v>54</v>
      </c>
      <c r="E51">
        <v>0.75</v>
      </c>
    </row>
    <row r="53" spans="1:5">
      <c r="C53" t="s">
        <v>55</v>
      </c>
      <c r="E53">
        <v>0.75</v>
      </c>
    </row>
    <row r="55" spans="1:5">
      <c r="C55" t="s">
        <v>56</v>
      </c>
      <c r="E55">
        <v>2.5</v>
      </c>
    </row>
    <row r="57" spans="1:5">
      <c r="A57" t="s">
        <v>61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G27" sqref="G27"/>
    </sheetView>
  </sheetViews>
  <sheetFormatPr defaultColWidth="8.85546875" defaultRowHeight="15"/>
  <cols>
    <col min="1" max="1" width="43" customWidth="1"/>
  </cols>
  <sheetData>
    <row r="1" spans="1:9">
      <c r="A1" s="448"/>
      <c r="B1" s="597" t="s">
        <v>62</v>
      </c>
      <c r="C1" s="598"/>
      <c r="D1" s="598"/>
      <c r="E1" s="599"/>
      <c r="F1" s="598" t="s">
        <v>63</v>
      </c>
      <c r="G1" s="598"/>
      <c r="H1" s="598"/>
      <c r="I1" s="599"/>
    </row>
    <row r="2" spans="1:9">
      <c r="A2" s="447"/>
      <c r="B2" s="446">
        <v>2016</v>
      </c>
      <c r="C2" s="446" t="s">
        <v>64</v>
      </c>
      <c r="D2" s="445" t="s">
        <v>65</v>
      </c>
      <c r="E2" s="445" t="s">
        <v>66</v>
      </c>
      <c r="F2" s="446">
        <v>2016</v>
      </c>
      <c r="G2" s="446" t="s">
        <v>64</v>
      </c>
      <c r="H2" s="445" t="s">
        <v>65</v>
      </c>
      <c r="I2" s="445" t="s">
        <v>66</v>
      </c>
    </row>
    <row r="3" spans="1:9">
      <c r="A3" s="444" t="s">
        <v>67</v>
      </c>
      <c r="B3" s="443">
        <v>1823.2</v>
      </c>
      <c r="C3" s="443">
        <v>1870.5</v>
      </c>
      <c r="D3" s="442">
        <v>1881.5</v>
      </c>
      <c r="E3" s="441">
        <v>1913.4</v>
      </c>
      <c r="F3" s="443">
        <v>6.2</v>
      </c>
      <c r="G3" s="443">
        <v>2.6</v>
      </c>
      <c r="H3" s="442">
        <v>0.6</v>
      </c>
      <c r="I3" s="441">
        <v>1.7</v>
      </c>
    </row>
    <row r="4" spans="1:9">
      <c r="A4" s="440" t="s">
        <v>68</v>
      </c>
      <c r="B4" s="439">
        <v>3.4</v>
      </c>
      <c r="C4" s="439">
        <v>5.4</v>
      </c>
      <c r="D4" s="438">
        <v>6.7</v>
      </c>
      <c r="E4" s="437">
        <v>6.7</v>
      </c>
      <c r="F4" s="439">
        <v>-29</v>
      </c>
      <c r="G4" s="439">
        <v>59</v>
      </c>
      <c r="H4" s="438">
        <v>24.9</v>
      </c>
      <c r="I4" s="437">
        <v>0</v>
      </c>
    </row>
    <row r="5" spans="1:9">
      <c r="A5" s="440" t="s">
        <v>69</v>
      </c>
      <c r="B5" s="439">
        <v>105.7</v>
      </c>
      <c r="C5" s="439">
        <v>100.1</v>
      </c>
      <c r="D5" s="438">
        <v>105</v>
      </c>
      <c r="E5" s="437">
        <v>104.1</v>
      </c>
      <c r="F5" s="439">
        <v>0.2</v>
      </c>
      <c r="G5" s="439">
        <v>-5.3</v>
      </c>
      <c r="H5" s="438">
        <v>4.9000000000000004</v>
      </c>
      <c r="I5" s="437">
        <v>-0.9</v>
      </c>
    </row>
    <row r="6" spans="1:9">
      <c r="A6" s="440" t="s">
        <v>70</v>
      </c>
      <c r="B6" s="439">
        <v>485.2</v>
      </c>
      <c r="C6" s="439">
        <v>508.7</v>
      </c>
      <c r="D6" s="438">
        <v>510.2</v>
      </c>
      <c r="E6" s="437">
        <v>513.79999999999995</v>
      </c>
      <c r="F6" s="439">
        <v>-1.3</v>
      </c>
      <c r="G6" s="439">
        <v>4.9000000000000004</v>
      </c>
      <c r="H6" s="438">
        <v>0.3</v>
      </c>
      <c r="I6" s="437">
        <v>0.7</v>
      </c>
    </row>
    <row r="7" spans="1:9">
      <c r="A7" s="440" t="s">
        <v>71</v>
      </c>
      <c r="B7" s="439">
        <v>1229</v>
      </c>
      <c r="C7" s="439">
        <v>1256.3</v>
      </c>
      <c r="D7" s="438">
        <v>1259.5999999999999</v>
      </c>
      <c r="E7" s="437">
        <v>1288.9000000000001</v>
      </c>
      <c r="F7" s="439">
        <v>10.199999999999999</v>
      </c>
      <c r="G7" s="439">
        <v>2.2000000000000002</v>
      </c>
      <c r="H7" s="438">
        <v>0.3</v>
      </c>
      <c r="I7" s="437">
        <v>2.2999999999999998</v>
      </c>
    </row>
    <row r="8" spans="1:9">
      <c r="A8" s="436" t="s">
        <v>72</v>
      </c>
      <c r="B8" s="439">
        <v>631.5</v>
      </c>
      <c r="C8" s="439">
        <v>661.3</v>
      </c>
      <c r="D8" s="438">
        <v>682.4</v>
      </c>
      <c r="E8" s="437">
        <v>701.6</v>
      </c>
      <c r="F8" s="435">
        <v>6.7</v>
      </c>
      <c r="G8" s="435">
        <v>4.7</v>
      </c>
      <c r="H8" s="434">
        <v>3.2</v>
      </c>
      <c r="I8" s="433">
        <v>2.8</v>
      </c>
    </row>
    <row r="9" spans="1:9">
      <c r="A9" s="436" t="s">
        <v>73</v>
      </c>
      <c r="B9" s="439">
        <v>594.1</v>
      </c>
      <c r="C9" s="439">
        <v>681.2</v>
      </c>
      <c r="D9" s="438">
        <v>658.7</v>
      </c>
      <c r="E9" s="437">
        <v>665.9</v>
      </c>
      <c r="F9" s="435">
        <v>1.3</v>
      </c>
      <c r="G9" s="435">
        <v>14.7</v>
      </c>
      <c r="H9" s="434">
        <v>-3.3</v>
      </c>
      <c r="I9" s="433">
        <v>1.1000000000000001</v>
      </c>
    </row>
    <row r="10" spans="1:9">
      <c r="A10" s="440"/>
      <c r="B10" s="439"/>
      <c r="C10" s="439"/>
      <c r="D10" s="438"/>
      <c r="E10" s="437"/>
      <c r="F10" s="439"/>
      <c r="G10" s="439"/>
      <c r="H10" s="438"/>
      <c r="I10" s="437"/>
    </row>
    <row r="11" spans="1:9">
      <c r="A11" s="444" t="s">
        <v>74</v>
      </c>
      <c r="B11" s="443">
        <v>6218.6</v>
      </c>
      <c r="C11" s="443">
        <v>6179.7</v>
      </c>
      <c r="D11" s="442">
        <v>6130.3</v>
      </c>
      <c r="E11" s="441">
        <v>6189.7</v>
      </c>
      <c r="F11" s="443">
        <v>1.4</v>
      </c>
      <c r="G11" s="443">
        <v>-0.6</v>
      </c>
      <c r="H11" s="442">
        <v>-0.8</v>
      </c>
      <c r="I11" s="441">
        <v>1</v>
      </c>
    </row>
    <row r="12" spans="1:9">
      <c r="A12" s="440" t="s">
        <v>75</v>
      </c>
      <c r="B12" s="439">
        <v>32.4</v>
      </c>
      <c r="C12" s="439">
        <v>47</v>
      </c>
      <c r="D12" s="438">
        <v>45.7</v>
      </c>
      <c r="E12" s="437">
        <v>47.2</v>
      </c>
      <c r="F12" s="439">
        <v>-13.2</v>
      </c>
      <c r="G12" s="439">
        <v>44.8</v>
      </c>
      <c r="H12" s="438">
        <v>-2.6</v>
      </c>
      <c r="I12" s="437">
        <v>3.3</v>
      </c>
    </row>
    <row r="13" spans="1:9">
      <c r="A13" s="440" t="s">
        <v>76</v>
      </c>
      <c r="B13" s="439">
        <v>219</v>
      </c>
      <c r="C13" s="439">
        <v>214.8</v>
      </c>
      <c r="D13" s="438">
        <v>210.8</v>
      </c>
      <c r="E13" s="437">
        <v>213.4</v>
      </c>
      <c r="F13" s="439">
        <v>0.7</v>
      </c>
      <c r="G13" s="439">
        <v>-1.9</v>
      </c>
      <c r="H13" s="438">
        <v>-1.9</v>
      </c>
      <c r="I13" s="437">
        <v>1.3</v>
      </c>
    </row>
    <row r="14" spans="1:9">
      <c r="A14" s="440" t="s">
        <v>77</v>
      </c>
      <c r="B14" s="439">
        <v>464.3</v>
      </c>
      <c r="C14" s="439">
        <v>473</v>
      </c>
      <c r="D14" s="438">
        <v>455</v>
      </c>
      <c r="E14" s="437">
        <v>457.3</v>
      </c>
      <c r="F14" s="439">
        <v>-6.3</v>
      </c>
      <c r="G14" s="439">
        <v>1.9</v>
      </c>
      <c r="H14" s="438">
        <v>-3.8</v>
      </c>
      <c r="I14" s="437">
        <v>0.5</v>
      </c>
    </row>
    <row r="15" spans="1:9">
      <c r="A15" s="440" t="s">
        <v>78</v>
      </c>
      <c r="B15" s="439">
        <v>777.2</v>
      </c>
      <c r="C15" s="439">
        <v>742.2</v>
      </c>
      <c r="D15" s="438">
        <v>734</v>
      </c>
      <c r="E15" s="437">
        <v>753.9</v>
      </c>
      <c r="F15" s="439">
        <v>-1.9</v>
      </c>
      <c r="G15" s="439">
        <v>-4.5</v>
      </c>
      <c r="H15" s="438">
        <v>-1.1000000000000001</v>
      </c>
      <c r="I15" s="437">
        <v>2.7</v>
      </c>
    </row>
    <row r="16" spans="1:9">
      <c r="A16" s="440" t="s">
        <v>79</v>
      </c>
      <c r="B16" s="439">
        <v>854.7</v>
      </c>
      <c r="C16" s="439">
        <v>855.6</v>
      </c>
      <c r="D16" s="438">
        <v>854.7</v>
      </c>
      <c r="E16" s="437">
        <v>845.1</v>
      </c>
      <c r="F16" s="439">
        <v>-1.1000000000000001</v>
      </c>
      <c r="G16" s="439">
        <v>0.1</v>
      </c>
      <c r="H16" s="438">
        <v>-0.1</v>
      </c>
      <c r="I16" s="437">
        <v>-1.1000000000000001</v>
      </c>
    </row>
    <row r="17" spans="1:9">
      <c r="A17" s="440" t="s">
        <v>80</v>
      </c>
      <c r="B17" s="439">
        <v>1065.4000000000001</v>
      </c>
      <c r="C17" s="439">
        <v>1045.7</v>
      </c>
      <c r="D17" s="438">
        <v>1042</v>
      </c>
      <c r="E17" s="437">
        <v>1057.3</v>
      </c>
      <c r="F17" s="439">
        <v>9.5</v>
      </c>
      <c r="G17" s="439">
        <v>-1.9</v>
      </c>
      <c r="H17" s="438">
        <v>-0.3</v>
      </c>
      <c r="I17" s="437">
        <v>1.5</v>
      </c>
    </row>
    <row r="18" spans="1:9">
      <c r="A18" s="440" t="s">
        <v>81</v>
      </c>
      <c r="B18" s="439">
        <v>2805.6</v>
      </c>
      <c r="C18" s="439">
        <v>2801.6</v>
      </c>
      <c r="D18" s="438">
        <v>2788</v>
      </c>
      <c r="E18" s="437">
        <v>2815.5</v>
      </c>
      <c r="F18" s="439">
        <v>1.9</v>
      </c>
      <c r="G18" s="439">
        <v>-0.1</v>
      </c>
      <c r="H18" s="438">
        <v>-0.5</v>
      </c>
      <c r="I18" s="437">
        <v>1</v>
      </c>
    </row>
    <row r="19" spans="1:9">
      <c r="A19" s="440"/>
      <c r="B19" s="439"/>
      <c r="C19" s="439"/>
      <c r="D19" s="438"/>
      <c r="E19" s="437"/>
      <c r="F19" s="439"/>
      <c r="G19" s="439"/>
      <c r="H19" s="438"/>
      <c r="I19" s="437"/>
    </row>
    <row r="20" spans="1:9">
      <c r="A20" s="444" t="s">
        <v>82</v>
      </c>
      <c r="B20" s="443">
        <v>8041.8</v>
      </c>
      <c r="C20" s="443">
        <v>8050.2</v>
      </c>
      <c r="D20" s="442">
        <v>8011.8</v>
      </c>
      <c r="E20" s="441">
        <v>8103.1</v>
      </c>
      <c r="F20" s="443">
        <v>2.5</v>
      </c>
      <c r="G20" s="443">
        <v>0.1</v>
      </c>
      <c r="H20" s="442">
        <v>-0.5</v>
      </c>
      <c r="I20" s="441">
        <v>1.1000000000000001</v>
      </c>
    </row>
    <row r="21" spans="1:9">
      <c r="A21" s="440"/>
      <c r="B21" s="439"/>
      <c r="C21" s="439"/>
      <c r="D21" s="438"/>
      <c r="E21" s="437"/>
      <c r="F21" s="439"/>
      <c r="G21" s="439"/>
      <c r="H21" s="438"/>
      <c r="I21" s="437"/>
    </row>
    <row r="22" spans="1:9">
      <c r="A22" s="440" t="s">
        <v>83</v>
      </c>
      <c r="B22" s="439">
        <v>9681.2999999999993</v>
      </c>
      <c r="C22" s="439">
        <v>9979</v>
      </c>
      <c r="D22" s="438">
        <v>10291.700000000001</v>
      </c>
      <c r="E22" s="437">
        <v>10631.9</v>
      </c>
      <c r="F22" s="439">
        <v>2.4</v>
      </c>
      <c r="G22" s="439">
        <v>3.1</v>
      </c>
      <c r="H22" s="438">
        <v>3.1</v>
      </c>
      <c r="I22" s="437">
        <v>3.3</v>
      </c>
    </row>
    <row r="23" spans="1:9">
      <c r="A23" s="440"/>
      <c r="B23" s="432"/>
      <c r="C23" s="432"/>
      <c r="D23" s="431"/>
      <c r="E23" s="430"/>
      <c r="F23" s="432"/>
      <c r="G23" s="432"/>
      <c r="H23" s="431"/>
      <c r="I23" s="430"/>
    </row>
    <row r="24" spans="1:9">
      <c r="A24" s="429" t="s">
        <v>84</v>
      </c>
      <c r="B24" s="428"/>
      <c r="C24" s="428"/>
      <c r="D24" s="427"/>
      <c r="E24" s="426"/>
      <c r="F24" s="194">
        <v>1.5</v>
      </c>
      <c r="G24" s="194">
        <v>4.5</v>
      </c>
      <c r="H24" s="427">
        <v>4.0999999999999996</v>
      </c>
      <c r="I24" s="426">
        <v>2.9</v>
      </c>
    </row>
    <row r="27" spans="1:9" ht="51" customHeight="1">
      <c r="A27" s="424" t="s">
        <v>85</v>
      </c>
      <c r="B27" s="538"/>
      <c r="C27" s="538"/>
      <c r="D27" s="538"/>
      <c r="E27" s="538"/>
      <c r="F27" s="538"/>
      <c r="G27" s="538"/>
      <c r="H27" s="538"/>
      <c r="I27" s="538"/>
    </row>
  </sheetData>
  <mergeCells count="2">
    <mergeCell ref="B1:E1"/>
    <mergeCell ref="F1:I1"/>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5" sqref="B5"/>
    </sheetView>
  </sheetViews>
  <sheetFormatPr defaultColWidth="8.85546875" defaultRowHeight="15"/>
  <cols>
    <col min="1" max="1" width="28.42578125" bestFit="1" customWidth="1"/>
  </cols>
  <sheetData>
    <row r="1" spans="1:2">
      <c r="B1" t="s">
        <v>93</v>
      </c>
    </row>
    <row r="2" spans="1:2">
      <c r="A2" t="s">
        <v>87</v>
      </c>
      <c r="B2">
        <v>0.127</v>
      </c>
    </row>
    <row r="3" spans="1:2">
      <c r="A3" t="s">
        <v>88</v>
      </c>
      <c r="B3">
        <v>2.492</v>
      </c>
    </row>
    <row r="4" spans="1:2">
      <c r="A4" t="s">
        <v>89</v>
      </c>
      <c r="B4">
        <v>14.467000000000001</v>
      </c>
    </row>
    <row r="5" spans="1:2">
      <c r="A5" t="s">
        <v>90</v>
      </c>
      <c r="B5">
        <v>0.38600000000000001</v>
      </c>
    </row>
    <row r="6" spans="1:2">
      <c r="A6" t="s">
        <v>86</v>
      </c>
      <c r="B6">
        <v>9.86</v>
      </c>
    </row>
    <row r="7" spans="1:2">
      <c r="A7" t="s">
        <v>91</v>
      </c>
      <c r="B7">
        <v>6.7210000000000001</v>
      </c>
    </row>
    <row r="8" spans="1:2">
      <c r="A8" t="s">
        <v>92</v>
      </c>
      <c r="B8">
        <v>9.5519999999999996</v>
      </c>
    </row>
    <row r="9" spans="1:2">
      <c r="A9" t="s">
        <v>45</v>
      </c>
      <c r="B9" s="450">
        <f>SUM(B2:B8)</f>
        <v>43.604999999999997</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workbookViewId="0">
      <selection activeCell="H17" sqref="H17"/>
    </sheetView>
  </sheetViews>
  <sheetFormatPr defaultColWidth="8.85546875" defaultRowHeight="15"/>
  <cols>
    <col min="1" max="1" width="17.85546875" style="538" customWidth="1"/>
    <col min="2" max="2" width="17.140625" style="538" customWidth="1"/>
    <col min="3" max="3" width="22.140625" style="538" customWidth="1"/>
    <col min="4" max="4" width="23" style="538" customWidth="1"/>
    <col min="5" max="5" width="22.7109375" style="538" customWidth="1"/>
    <col min="6" max="6" width="21.7109375" style="538" customWidth="1"/>
    <col min="7" max="7" width="24.140625" style="538" customWidth="1"/>
    <col min="8" max="8" width="20.85546875" style="538" customWidth="1"/>
    <col min="9" max="9" width="22.140625" style="538" customWidth="1"/>
    <col min="10" max="10" width="20.85546875" style="538" customWidth="1"/>
    <col min="11" max="11" width="15.28515625" style="538" customWidth="1"/>
    <col min="12" max="12" width="24.85546875" style="538" customWidth="1"/>
    <col min="13" max="13" width="24.28515625" style="538" customWidth="1"/>
    <col min="14" max="14" width="25.42578125" style="538" customWidth="1"/>
    <col min="15" max="15" width="9.42578125" style="538" customWidth="1"/>
    <col min="16" max="16" width="26.85546875" style="538" customWidth="1"/>
    <col min="17" max="17" width="24.42578125" style="538" customWidth="1"/>
    <col min="18" max="18" width="26.85546875" style="538" customWidth="1"/>
    <col min="19" max="19" width="27.42578125" style="538" customWidth="1"/>
    <col min="20" max="16384" width="8.85546875" style="538"/>
  </cols>
  <sheetData>
    <row r="1" spans="1:19" ht="18">
      <c r="A1" s="422" t="s">
        <v>94</v>
      </c>
      <c r="B1" s="421"/>
      <c r="C1" s="421"/>
      <c r="D1" s="421"/>
      <c r="E1" s="421"/>
      <c r="F1" s="421"/>
      <c r="G1" s="420"/>
      <c r="H1" s="419"/>
      <c r="I1" s="418"/>
      <c r="J1" s="203" t="s">
        <v>95</v>
      </c>
      <c r="K1" s="417"/>
      <c r="L1" s="417"/>
      <c r="M1" s="417"/>
      <c r="N1" s="416"/>
      <c r="O1" s="417"/>
      <c r="P1" s="415"/>
      <c r="Q1" s="414"/>
      <c r="R1" s="413"/>
      <c r="S1" s="412"/>
    </row>
    <row r="2" spans="1:19" ht="18">
      <c r="A2" s="411" t="s">
        <v>96</v>
      </c>
      <c r="B2" s="410"/>
      <c r="C2" s="410"/>
      <c r="D2" s="410"/>
      <c r="E2" s="409"/>
      <c r="F2" s="409"/>
      <c r="G2" s="408"/>
      <c r="H2" s="407"/>
      <c r="I2" s="406"/>
      <c r="J2" s="405" t="s">
        <v>96</v>
      </c>
      <c r="K2" s="404"/>
      <c r="L2" s="403"/>
      <c r="M2" s="403"/>
      <c r="N2" s="402"/>
      <c r="O2" s="403"/>
      <c r="P2" s="481"/>
      <c r="Q2" s="451"/>
      <c r="R2" s="480"/>
      <c r="S2" s="452"/>
    </row>
    <row r="3" spans="1:19" ht="18">
      <c r="A3" s="479" t="s">
        <v>97</v>
      </c>
      <c r="B3" s="453" t="s">
        <v>98</v>
      </c>
      <c r="C3" s="453" t="s">
        <v>99</v>
      </c>
      <c r="D3" s="453" t="s">
        <v>100</v>
      </c>
      <c r="E3" s="401" t="s">
        <v>101</v>
      </c>
      <c r="F3" s="478" t="s">
        <v>102</v>
      </c>
      <c r="G3" s="454" t="s">
        <v>103</v>
      </c>
      <c r="H3" s="477"/>
      <c r="I3" s="455" t="s">
        <v>104</v>
      </c>
      <c r="J3" s="476" t="s">
        <v>97</v>
      </c>
      <c r="K3" s="456" t="s">
        <v>98</v>
      </c>
      <c r="L3" s="475" t="s">
        <v>99</v>
      </c>
      <c r="M3" s="457" t="s">
        <v>100</v>
      </c>
      <c r="N3" s="474" t="s">
        <v>101</v>
      </c>
      <c r="O3" s="458"/>
      <c r="P3" s="454" t="s">
        <v>103</v>
      </c>
      <c r="Q3" s="400" t="s">
        <v>105</v>
      </c>
      <c r="R3" s="498" t="s">
        <v>106</v>
      </c>
      <c r="S3" s="459" t="s">
        <v>107</v>
      </c>
    </row>
    <row r="4" spans="1:19" ht="18">
      <c r="A4" s="479" t="s">
        <v>108</v>
      </c>
      <c r="B4" s="453" t="s">
        <v>109</v>
      </c>
      <c r="C4" s="453" t="s">
        <v>110</v>
      </c>
      <c r="D4" s="453" t="s">
        <v>111</v>
      </c>
      <c r="E4" s="497" t="s">
        <v>111</v>
      </c>
      <c r="F4" s="497" t="s">
        <v>111</v>
      </c>
      <c r="G4" s="460" t="s">
        <v>112</v>
      </c>
      <c r="H4" s="496" t="s">
        <v>113</v>
      </c>
      <c r="I4" s="461" t="s">
        <v>114</v>
      </c>
      <c r="J4" s="482" t="s">
        <v>115</v>
      </c>
      <c r="K4" s="462" t="s">
        <v>109</v>
      </c>
      <c r="L4" s="495" t="s">
        <v>116</v>
      </c>
      <c r="M4" s="463" t="s">
        <v>116</v>
      </c>
      <c r="N4" s="463" t="s">
        <v>116</v>
      </c>
      <c r="O4" s="463"/>
      <c r="P4" s="399" t="s">
        <v>116</v>
      </c>
      <c r="Q4" s="398" t="s">
        <v>115</v>
      </c>
      <c r="R4" s="397"/>
      <c r="S4" s="494"/>
    </row>
    <row r="5" spans="1:19" ht="18">
      <c r="A5" s="464" t="s">
        <v>117</v>
      </c>
      <c r="B5" s="493" t="s">
        <v>118</v>
      </c>
      <c r="C5" s="492">
        <v>0</v>
      </c>
      <c r="D5" s="465">
        <f>[1]MAY!D5</f>
        <v>0</v>
      </c>
      <c r="E5" s="465">
        <f>[1]MAY!E5</f>
        <v>0</v>
      </c>
      <c r="F5" s="491">
        <f t="shared" ref="F5:F68" si="0">C5*2</f>
        <v>0</v>
      </c>
      <c r="G5" s="466">
        <f t="shared" ref="G5:G68" si="1">C5+E5</f>
        <v>0</v>
      </c>
      <c r="H5" s="490">
        <f t="shared" ref="H5:H25" si="2">E5*2</f>
        <v>0</v>
      </c>
      <c r="I5" s="467">
        <f t="shared" ref="I5:I19" si="3">G5*2</f>
        <v>0</v>
      </c>
      <c r="J5" s="396" t="s">
        <v>117</v>
      </c>
      <c r="K5" s="493" t="s">
        <v>118</v>
      </c>
      <c r="L5" s="395">
        <v>1575316.48</v>
      </c>
      <c r="M5" s="394">
        <f>[1]MAY!M5-1492000</f>
        <v>16677175</v>
      </c>
      <c r="N5" s="394">
        <f>[1]MAY!N5-109021+109054-1259327.93+1261739.22-1492000</f>
        <v>16648350.800000001</v>
      </c>
      <c r="O5" s="489">
        <v>0</v>
      </c>
      <c r="P5" s="468">
        <f t="shared" ref="P5:P68" si="4">L5+N5</f>
        <v>18223667.280000001</v>
      </c>
      <c r="Q5" s="488" t="s">
        <v>117</v>
      </c>
      <c r="R5" s="469">
        <f t="shared" ref="R5:R68" si="5">D5*2+M5</f>
        <v>16677175</v>
      </c>
      <c r="S5" s="487">
        <f t="shared" ref="S5:S68" si="6">(E5*2)+N5</f>
        <v>16648350.800000001</v>
      </c>
    </row>
    <row r="6" spans="1:19" ht="18">
      <c r="A6" s="470" t="s">
        <v>119</v>
      </c>
      <c r="B6" s="486" t="s">
        <v>120</v>
      </c>
      <c r="C6" s="471">
        <v>0</v>
      </c>
      <c r="D6" s="485">
        <f>[1]MAY!D6</f>
        <v>8536500</v>
      </c>
      <c r="E6" s="485">
        <f>[1]MAY!E6</f>
        <v>8567995.0299999993</v>
      </c>
      <c r="F6" s="472">
        <f t="shared" si="0"/>
        <v>0</v>
      </c>
      <c r="G6" s="393">
        <f t="shared" si="1"/>
        <v>8567995.0299999993</v>
      </c>
      <c r="H6" s="484">
        <f t="shared" si="2"/>
        <v>17135990.059999999</v>
      </c>
      <c r="I6" s="473">
        <f t="shared" si="3"/>
        <v>17135990.059999999</v>
      </c>
      <c r="J6" s="470" t="s">
        <v>119</v>
      </c>
      <c r="K6" s="486" t="s">
        <v>120</v>
      </c>
      <c r="L6" s="483">
        <v>1567488.96</v>
      </c>
      <c r="M6" s="365">
        <f>[1]MAY!M6</f>
        <v>133010520</v>
      </c>
      <c r="N6" s="365">
        <f>[1]MAY!N6-1298341+1298734-1820845.62+1822497.93-36075264.96+36144339.84</f>
        <v>132399045.17</v>
      </c>
      <c r="O6" s="392">
        <v>0</v>
      </c>
      <c r="P6" s="391">
        <f t="shared" si="4"/>
        <v>133966534.13</v>
      </c>
      <c r="Q6" s="390" t="s">
        <v>119</v>
      </c>
      <c r="R6" s="469">
        <f t="shared" si="5"/>
        <v>150083520</v>
      </c>
      <c r="S6" s="389">
        <f t="shared" si="6"/>
        <v>149535035.22999999</v>
      </c>
    </row>
    <row r="7" spans="1:19" ht="18">
      <c r="A7" s="388" t="s">
        <v>121</v>
      </c>
      <c r="B7" s="486" t="s">
        <v>122</v>
      </c>
      <c r="C7" s="471">
        <v>0</v>
      </c>
      <c r="D7" s="485">
        <f>[1]MAY!D7</f>
        <v>0</v>
      </c>
      <c r="E7" s="485">
        <f>[1]MAY!E7</f>
        <v>0</v>
      </c>
      <c r="F7" s="472">
        <f t="shared" si="0"/>
        <v>0</v>
      </c>
      <c r="G7" s="393">
        <f t="shared" si="1"/>
        <v>0</v>
      </c>
      <c r="H7" s="484">
        <f t="shared" si="2"/>
        <v>0</v>
      </c>
      <c r="I7" s="387">
        <f t="shared" si="3"/>
        <v>0</v>
      </c>
      <c r="J7" s="386" t="s">
        <v>121</v>
      </c>
      <c r="K7" s="486" t="s">
        <v>122</v>
      </c>
      <c r="L7" s="483">
        <v>51004.29</v>
      </c>
      <c r="M7" s="365">
        <f>[1]MAY!M7</f>
        <v>10001345</v>
      </c>
      <c r="N7" s="365">
        <f>[1]MAY!N7-487621.2+487768.8</f>
        <v>9977781.4100000001</v>
      </c>
      <c r="O7" s="392">
        <v>0</v>
      </c>
      <c r="P7" s="391">
        <f t="shared" si="4"/>
        <v>10028785.699999999</v>
      </c>
      <c r="Q7" s="388" t="s">
        <v>121</v>
      </c>
      <c r="R7" s="469">
        <f t="shared" si="5"/>
        <v>10001345</v>
      </c>
      <c r="S7" s="389">
        <f t="shared" si="6"/>
        <v>9977781.4100000001</v>
      </c>
    </row>
    <row r="8" spans="1:19" ht="18">
      <c r="A8" s="388" t="s">
        <v>123</v>
      </c>
      <c r="B8" s="486" t="s">
        <v>124</v>
      </c>
      <c r="C8" s="471">
        <v>0</v>
      </c>
      <c r="D8" s="485">
        <f>[1]MAY!D8</f>
        <v>0</v>
      </c>
      <c r="E8" s="485">
        <f>[1]MAY!E8</f>
        <v>0</v>
      </c>
      <c r="F8" s="385">
        <f t="shared" si="0"/>
        <v>0</v>
      </c>
      <c r="G8" s="384">
        <f t="shared" si="1"/>
        <v>0</v>
      </c>
      <c r="H8" s="383">
        <f t="shared" si="2"/>
        <v>0</v>
      </c>
      <c r="I8" s="382">
        <f t="shared" si="3"/>
        <v>0</v>
      </c>
      <c r="J8" s="388" t="s">
        <v>123</v>
      </c>
      <c r="K8" s="486" t="s">
        <v>124</v>
      </c>
      <c r="L8" s="381">
        <v>9575.82</v>
      </c>
      <c r="M8" s="380">
        <f>[1]MAY!M8</f>
        <v>4854200</v>
      </c>
      <c r="N8" s="380">
        <f>[1]MAY!N8-495550+495700</f>
        <v>4849900</v>
      </c>
      <c r="O8" s="379">
        <v>0</v>
      </c>
      <c r="P8" s="378">
        <f t="shared" si="4"/>
        <v>4859475.82</v>
      </c>
      <c r="Q8" s="377" t="s">
        <v>123</v>
      </c>
      <c r="R8" s="469">
        <f t="shared" si="5"/>
        <v>4854200</v>
      </c>
      <c r="S8" s="376">
        <f t="shared" si="6"/>
        <v>4849900</v>
      </c>
    </row>
    <row r="9" spans="1:19" ht="18">
      <c r="A9" s="377" t="s">
        <v>125</v>
      </c>
      <c r="B9" s="486" t="s">
        <v>126</v>
      </c>
      <c r="C9" s="471">
        <v>0</v>
      </c>
      <c r="D9" s="485">
        <f>[1]MAY!D9</f>
        <v>0</v>
      </c>
      <c r="E9" s="485">
        <f>[1]MAY!E9</f>
        <v>0</v>
      </c>
      <c r="F9" s="385">
        <f t="shared" si="0"/>
        <v>0</v>
      </c>
      <c r="G9" s="384">
        <f t="shared" si="1"/>
        <v>0</v>
      </c>
      <c r="H9" s="383">
        <f t="shared" si="2"/>
        <v>0</v>
      </c>
      <c r="I9" s="382">
        <f t="shared" si="3"/>
        <v>0</v>
      </c>
      <c r="J9" s="388" t="s">
        <v>125</v>
      </c>
      <c r="K9" s="486" t="s">
        <v>126</v>
      </c>
      <c r="L9" s="381">
        <v>90326.05</v>
      </c>
      <c r="M9" s="380">
        <f>[1]MAY!M9-12650</f>
        <v>5964380</v>
      </c>
      <c r="N9" s="380">
        <f>[1]MAY!N9-390493.4+390611.6-12650</f>
        <v>5936695.79</v>
      </c>
      <c r="O9" s="379">
        <v>0</v>
      </c>
      <c r="P9" s="378">
        <f t="shared" si="4"/>
        <v>6027021.8399999999</v>
      </c>
      <c r="Q9" s="377" t="s">
        <v>125</v>
      </c>
      <c r="R9" s="469">
        <f t="shared" si="5"/>
        <v>5964380</v>
      </c>
      <c r="S9" s="376">
        <f t="shared" si="6"/>
        <v>5936695.79</v>
      </c>
    </row>
    <row r="10" spans="1:19" ht="18">
      <c r="A10" s="377" t="s">
        <v>127</v>
      </c>
      <c r="B10" s="486">
        <v>200304</v>
      </c>
      <c r="C10" s="471">
        <v>0</v>
      </c>
      <c r="D10" s="485">
        <f>[1]MAY!D10</f>
        <v>0</v>
      </c>
      <c r="E10" s="485">
        <f>[1]MAY!E10</f>
        <v>0</v>
      </c>
      <c r="F10" s="375">
        <f t="shared" si="0"/>
        <v>0</v>
      </c>
      <c r="G10" s="374">
        <f t="shared" si="1"/>
        <v>0</v>
      </c>
      <c r="H10" s="373">
        <f t="shared" si="2"/>
        <v>0</v>
      </c>
      <c r="I10" s="372">
        <f t="shared" si="3"/>
        <v>0</v>
      </c>
      <c r="J10" s="377" t="s">
        <v>127</v>
      </c>
      <c r="K10" s="486">
        <v>200304</v>
      </c>
      <c r="L10" s="371">
        <v>295073.48</v>
      </c>
      <c r="M10" s="370">
        <f>[1]MAY!M10-249450</f>
        <v>7332200</v>
      </c>
      <c r="N10" s="370">
        <f>[1]MAY!N10-37707.4+37779.6-249450</f>
        <v>7313361</v>
      </c>
      <c r="O10" s="369">
        <v>0</v>
      </c>
      <c r="P10" s="368">
        <f t="shared" si="4"/>
        <v>7608434.4800000004</v>
      </c>
      <c r="Q10" s="367" t="s">
        <v>127</v>
      </c>
      <c r="R10" s="469">
        <f t="shared" si="5"/>
        <v>7332200</v>
      </c>
      <c r="S10" s="366">
        <f t="shared" si="6"/>
        <v>7313361</v>
      </c>
    </row>
    <row r="11" spans="1:19" ht="18">
      <c r="A11" s="367" t="s">
        <v>128</v>
      </c>
      <c r="B11" s="486">
        <v>200305</v>
      </c>
      <c r="C11" s="471">
        <v>0</v>
      </c>
      <c r="D11" s="485">
        <f>[1]MAY!D11</f>
        <v>0</v>
      </c>
      <c r="E11" s="485">
        <f>[1]MAY!E11</f>
        <v>0</v>
      </c>
      <c r="F11" s="375">
        <f t="shared" si="0"/>
        <v>0</v>
      </c>
      <c r="G11" s="374">
        <f t="shared" si="1"/>
        <v>0</v>
      </c>
      <c r="H11" s="373">
        <f t="shared" si="2"/>
        <v>0</v>
      </c>
      <c r="I11" s="372">
        <f t="shared" si="3"/>
        <v>0</v>
      </c>
      <c r="J11" s="377" t="s">
        <v>128</v>
      </c>
      <c r="K11" s="486">
        <v>200305</v>
      </c>
      <c r="L11" s="371">
        <v>153130.51999999999</v>
      </c>
      <c r="M11" s="370">
        <f>[1]MAY!M11-90450</f>
        <v>9051915</v>
      </c>
      <c r="N11" s="370">
        <f>[1]MAY!N11-116949.8+116985.2-90450</f>
        <v>9025610.3200000003</v>
      </c>
      <c r="O11" s="369">
        <v>0</v>
      </c>
      <c r="P11" s="368">
        <f t="shared" si="4"/>
        <v>9178740.8399999999</v>
      </c>
      <c r="Q11" s="367" t="s">
        <v>128</v>
      </c>
      <c r="R11" s="469">
        <f t="shared" si="5"/>
        <v>9051915</v>
      </c>
      <c r="S11" s="366">
        <f t="shared" si="6"/>
        <v>9025610.3200000003</v>
      </c>
    </row>
    <row r="12" spans="1:19" ht="18">
      <c r="A12" s="364" t="s">
        <v>129</v>
      </c>
      <c r="B12" s="363" t="s">
        <v>130</v>
      </c>
      <c r="C12" s="471">
        <v>0</v>
      </c>
      <c r="D12" s="485">
        <f>[1]MAY!D12</f>
        <v>0</v>
      </c>
      <c r="E12" s="485">
        <f>[1]MAY!E12</f>
        <v>0</v>
      </c>
      <c r="F12" s="198">
        <f t="shared" si="0"/>
        <v>0</v>
      </c>
      <c r="G12" s="362">
        <f t="shared" si="1"/>
        <v>0</v>
      </c>
      <c r="H12" s="361">
        <f t="shared" si="2"/>
        <v>0</v>
      </c>
      <c r="I12" s="360">
        <f t="shared" si="3"/>
        <v>0</v>
      </c>
      <c r="J12" s="364" t="s">
        <v>129</v>
      </c>
      <c r="K12" s="359" t="s">
        <v>130</v>
      </c>
      <c r="L12" s="358">
        <v>64206.879999999997</v>
      </c>
      <c r="M12" s="357">
        <f>[1]MAY!M12</f>
        <v>19343760</v>
      </c>
      <c r="N12" s="357">
        <f>[1]MAY!N12-145691.7+145735.8</f>
        <v>19318156.100000001</v>
      </c>
      <c r="O12" s="356">
        <v>0</v>
      </c>
      <c r="P12" s="355">
        <f t="shared" si="4"/>
        <v>19382362.98</v>
      </c>
      <c r="Q12" s="354" t="s">
        <v>129</v>
      </c>
      <c r="R12" s="469">
        <f t="shared" si="5"/>
        <v>19343760</v>
      </c>
      <c r="S12" s="353">
        <f t="shared" si="6"/>
        <v>19318156.100000001</v>
      </c>
    </row>
    <row r="13" spans="1:19" ht="18">
      <c r="A13" s="193" t="s">
        <v>131</v>
      </c>
      <c r="B13" s="352" t="s">
        <v>120</v>
      </c>
      <c r="C13" s="471">
        <v>0</v>
      </c>
      <c r="D13" s="485">
        <f>[1]MAY!D13</f>
        <v>2318500</v>
      </c>
      <c r="E13" s="485">
        <f>[1]MAY!E13</f>
        <v>2407113.06</v>
      </c>
      <c r="F13" s="198">
        <f t="shared" si="0"/>
        <v>0</v>
      </c>
      <c r="G13" s="362">
        <f t="shared" si="1"/>
        <v>2407113.06</v>
      </c>
      <c r="H13" s="361">
        <f t="shared" si="2"/>
        <v>4814226.12</v>
      </c>
      <c r="I13" s="509">
        <f t="shared" si="3"/>
        <v>4814226.12</v>
      </c>
      <c r="J13" s="508" t="s">
        <v>131</v>
      </c>
      <c r="K13" s="352" t="s">
        <v>120</v>
      </c>
      <c r="L13" s="358">
        <v>6102984.5199999996</v>
      </c>
      <c r="M13" s="357">
        <f>[1]MAY!M13-5000000</f>
        <v>95348645</v>
      </c>
      <c r="N13" s="357">
        <f>[1]MAY!N13-3972328.8+3973531.2-835789.86+836548.29-5000000-56383379.07+56491338.78</f>
        <v>94923075.829999998</v>
      </c>
      <c r="O13" s="507">
        <v>0</v>
      </c>
      <c r="P13" s="355">
        <f t="shared" si="4"/>
        <v>101026060.34999999</v>
      </c>
      <c r="Q13" s="193" t="s">
        <v>131</v>
      </c>
      <c r="R13" s="469">
        <f t="shared" si="5"/>
        <v>99985645</v>
      </c>
      <c r="S13" s="353">
        <f t="shared" si="6"/>
        <v>99737301.950000003</v>
      </c>
    </row>
    <row r="14" spans="1:19" ht="18">
      <c r="A14" s="354" t="s">
        <v>132</v>
      </c>
      <c r="B14" s="506">
        <v>200506</v>
      </c>
      <c r="C14" s="471">
        <v>0</v>
      </c>
      <c r="D14" s="485">
        <f>[1]MAY!D14</f>
        <v>0</v>
      </c>
      <c r="E14" s="485">
        <f>[1]MAY!E14</f>
        <v>0</v>
      </c>
      <c r="F14" s="198">
        <f t="shared" si="0"/>
        <v>0</v>
      </c>
      <c r="G14" s="362">
        <f t="shared" si="1"/>
        <v>0</v>
      </c>
      <c r="H14" s="361">
        <f t="shared" si="2"/>
        <v>0</v>
      </c>
      <c r="I14" s="360">
        <f t="shared" si="3"/>
        <v>0</v>
      </c>
      <c r="J14" s="364" t="s">
        <v>132</v>
      </c>
      <c r="K14" s="506">
        <v>200506</v>
      </c>
      <c r="L14" s="358">
        <v>57329.24</v>
      </c>
      <c r="M14" s="357">
        <f>[1]MAY!M14</f>
        <v>5871180</v>
      </c>
      <c r="N14" s="357">
        <f>[1]MAY!N14-95145.6+95174.4</f>
        <v>5855232.2400000002</v>
      </c>
      <c r="O14" s="507">
        <v>0</v>
      </c>
      <c r="P14" s="355">
        <f t="shared" si="4"/>
        <v>5912561.4800000004</v>
      </c>
      <c r="Q14" s="354" t="s">
        <v>132</v>
      </c>
      <c r="R14" s="469">
        <f t="shared" si="5"/>
        <v>5871180</v>
      </c>
      <c r="S14" s="353">
        <f t="shared" si="6"/>
        <v>5855232.2400000002</v>
      </c>
    </row>
    <row r="15" spans="1:19" ht="18">
      <c r="A15" s="354" t="s">
        <v>133</v>
      </c>
      <c r="B15" s="505" t="s">
        <v>134</v>
      </c>
      <c r="C15" s="471">
        <v>0</v>
      </c>
      <c r="D15" s="485">
        <f>[1]MAY!D15</f>
        <v>0</v>
      </c>
      <c r="E15" s="485">
        <f>[1]MAY!E15</f>
        <v>0</v>
      </c>
      <c r="F15" s="504">
        <f t="shared" si="0"/>
        <v>0</v>
      </c>
      <c r="G15" s="503">
        <f t="shared" si="1"/>
        <v>0</v>
      </c>
      <c r="H15" s="502">
        <f t="shared" si="2"/>
        <v>0</v>
      </c>
      <c r="I15" s="501">
        <f t="shared" si="3"/>
        <v>0</v>
      </c>
      <c r="J15" s="354" t="s">
        <v>133</v>
      </c>
      <c r="K15" s="500" t="s">
        <v>134</v>
      </c>
      <c r="L15" s="351">
        <v>135188.34</v>
      </c>
      <c r="M15" s="350">
        <f>[1]MAY!M15</f>
        <v>16899515</v>
      </c>
      <c r="N15" s="350">
        <f>[1]MAY!N15-143709.5+143753</f>
        <v>16838209.48</v>
      </c>
      <c r="O15" s="349">
        <v>0</v>
      </c>
      <c r="P15" s="499">
        <f t="shared" si="4"/>
        <v>16973397.82</v>
      </c>
      <c r="Q15" s="425" t="s">
        <v>133</v>
      </c>
      <c r="R15" s="469">
        <f t="shared" si="5"/>
        <v>16899515</v>
      </c>
      <c r="S15" s="170">
        <f t="shared" si="6"/>
        <v>16838209.48</v>
      </c>
    </row>
    <row r="16" spans="1:19" ht="18">
      <c r="A16" s="425" t="s">
        <v>135</v>
      </c>
      <c r="B16" s="348">
        <v>200604</v>
      </c>
      <c r="C16" s="471">
        <v>0</v>
      </c>
      <c r="D16" s="485">
        <f>[1]MAY!D16</f>
        <v>0</v>
      </c>
      <c r="E16" s="485">
        <f>[1]MAY!E16</f>
        <v>0</v>
      </c>
      <c r="F16" s="347">
        <f t="shared" si="0"/>
        <v>0</v>
      </c>
      <c r="G16" s="346">
        <f t="shared" si="1"/>
        <v>0</v>
      </c>
      <c r="H16" s="345">
        <f t="shared" si="2"/>
        <v>0</v>
      </c>
      <c r="I16" s="344">
        <f t="shared" si="3"/>
        <v>0</v>
      </c>
      <c r="J16" s="425" t="s">
        <v>135</v>
      </c>
      <c r="K16" s="343">
        <v>200604</v>
      </c>
      <c r="L16" s="342">
        <v>125295.86</v>
      </c>
      <c r="M16" s="341">
        <f>[1]MAY!M16</f>
        <v>13320390</v>
      </c>
      <c r="N16" s="341">
        <f>[1]MAY!N16-129834.1+129873.4-1057891.03+1059916.62</f>
        <v>13263852.9</v>
      </c>
      <c r="O16" s="340">
        <v>0</v>
      </c>
      <c r="P16" s="339">
        <f t="shared" si="4"/>
        <v>13389148.76</v>
      </c>
      <c r="Q16" s="338" t="s">
        <v>135</v>
      </c>
      <c r="R16" s="469">
        <f t="shared" si="5"/>
        <v>13320390</v>
      </c>
      <c r="S16" s="337">
        <f t="shared" si="6"/>
        <v>13263852.9</v>
      </c>
    </row>
    <row r="17" spans="1:19" ht="18">
      <c r="A17" s="336" t="s">
        <v>136</v>
      </c>
      <c r="B17" s="335">
        <v>200705</v>
      </c>
      <c r="C17" s="471">
        <v>0</v>
      </c>
      <c r="D17" s="485">
        <f>[1]MAY!D17</f>
        <v>0</v>
      </c>
      <c r="E17" s="485">
        <f>[1]MAY!E17</f>
        <v>0</v>
      </c>
      <c r="F17" s="347">
        <f t="shared" si="0"/>
        <v>0</v>
      </c>
      <c r="G17" s="346">
        <f t="shared" si="1"/>
        <v>0</v>
      </c>
      <c r="H17" s="345">
        <f t="shared" si="2"/>
        <v>0</v>
      </c>
      <c r="I17" s="344">
        <f t="shared" si="3"/>
        <v>0</v>
      </c>
      <c r="J17" s="334" t="s">
        <v>136</v>
      </c>
      <c r="K17" s="333">
        <v>200705</v>
      </c>
      <c r="L17" s="342">
        <v>20712.45</v>
      </c>
      <c r="M17" s="341">
        <f>[1]MAY!M17</f>
        <v>9179850</v>
      </c>
      <c r="N17" s="341">
        <f>[1]MAY!N17-99110+99140-1247519.56+1249908.24</f>
        <v>9171698.2400000002</v>
      </c>
      <c r="O17" s="332">
        <v>0</v>
      </c>
      <c r="P17" s="339">
        <f t="shared" si="4"/>
        <v>9192410.6899999995</v>
      </c>
      <c r="Q17" s="336" t="s">
        <v>136</v>
      </c>
      <c r="R17" s="469">
        <f t="shared" si="5"/>
        <v>9179850</v>
      </c>
      <c r="S17" s="337">
        <f t="shared" si="6"/>
        <v>9171698.2400000002</v>
      </c>
    </row>
    <row r="18" spans="1:19" ht="18">
      <c r="A18" s="331" t="s">
        <v>137</v>
      </c>
      <c r="B18" s="348">
        <v>200803</v>
      </c>
      <c r="C18" s="471">
        <v>0</v>
      </c>
      <c r="D18" s="485">
        <f>[1]MAY!D18</f>
        <v>0</v>
      </c>
      <c r="E18" s="485">
        <f>[1]MAY!E18</f>
        <v>0</v>
      </c>
      <c r="F18" s="330">
        <f t="shared" si="0"/>
        <v>0</v>
      </c>
      <c r="G18" s="329">
        <f t="shared" si="1"/>
        <v>0</v>
      </c>
      <c r="H18" s="328">
        <f t="shared" si="2"/>
        <v>0</v>
      </c>
      <c r="I18" s="327">
        <f t="shared" si="3"/>
        <v>0</v>
      </c>
      <c r="J18" s="331" t="s">
        <v>137</v>
      </c>
      <c r="K18" s="348">
        <v>200803</v>
      </c>
      <c r="L18" s="326">
        <v>51305.97</v>
      </c>
      <c r="M18" s="485">
        <f>[1]MAY!M18</f>
        <v>5440635</v>
      </c>
      <c r="N18" s="485">
        <f>[1]MAY!N18-1382584.5+1383003-1812336.72+1815806.88</f>
        <v>5418044.8799999999</v>
      </c>
      <c r="O18" s="332">
        <v>0</v>
      </c>
      <c r="P18" s="339">
        <f t="shared" si="4"/>
        <v>5469350.8499999996</v>
      </c>
      <c r="Q18" s="331" t="s">
        <v>137</v>
      </c>
      <c r="R18" s="469">
        <f t="shared" si="5"/>
        <v>5440635</v>
      </c>
      <c r="S18" s="337">
        <f t="shared" si="6"/>
        <v>5418044.8799999999</v>
      </c>
    </row>
    <row r="19" spans="1:19" ht="18">
      <c r="A19" s="331" t="s">
        <v>138</v>
      </c>
      <c r="B19" s="348">
        <v>200804</v>
      </c>
      <c r="C19" s="471">
        <v>0</v>
      </c>
      <c r="D19" s="485">
        <f>[1]MAY!D19</f>
        <v>0</v>
      </c>
      <c r="E19" s="485">
        <f>[1]MAY!E19</f>
        <v>0</v>
      </c>
      <c r="F19" s="330">
        <f t="shared" si="0"/>
        <v>0</v>
      </c>
      <c r="G19" s="329">
        <f t="shared" si="1"/>
        <v>0</v>
      </c>
      <c r="H19" s="328">
        <f t="shared" si="2"/>
        <v>0</v>
      </c>
      <c r="I19" s="327">
        <f t="shared" si="3"/>
        <v>0</v>
      </c>
      <c r="J19" s="331" t="s">
        <v>138</v>
      </c>
      <c r="K19" s="348">
        <v>200804</v>
      </c>
      <c r="L19" s="326">
        <v>93467.07</v>
      </c>
      <c r="M19" s="485">
        <f>[1]MAY!M19</f>
        <v>10328040</v>
      </c>
      <c r="N19" s="485">
        <f>[1]MAY!N19-156593.8+156641.2-2134139.61+2138225.94</f>
        <v>10286786.66</v>
      </c>
      <c r="O19" s="332">
        <v>0</v>
      </c>
      <c r="P19" s="339">
        <f t="shared" si="4"/>
        <v>10380253.73</v>
      </c>
      <c r="Q19" s="331" t="s">
        <v>138</v>
      </c>
      <c r="R19" s="469">
        <f t="shared" si="5"/>
        <v>10328040</v>
      </c>
      <c r="S19" s="337">
        <f t="shared" si="6"/>
        <v>10286786.66</v>
      </c>
    </row>
    <row r="20" spans="1:19" ht="18">
      <c r="A20" s="338" t="s">
        <v>139</v>
      </c>
      <c r="B20" s="348">
        <v>200805</v>
      </c>
      <c r="C20" s="471">
        <v>0</v>
      </c>
      <c r="D20" s="485">
        <f>[1]MAY!D20</f>
        <v>0</v>
      </c>
      <c r="E20" s="485">
        <f>[1]MAY!E20</f>
        <v>0</v>
      </c>
      <c r="F20" s="330">
        <f t="shared" si="0"/>
        <v>0</v>
      </c>
      <c r="G20" s="329">
        <f t="shared" si="1"/>
        <v>0</v>
      </c>
      <c r="H20" s="328">
        <f t="shared" si="2"/>
        <v>0</v>
      </c>
      <c r="I20" s="327">
        <f>G20*2</f>
        <v>0</v>
      </c>
      <c r="J20" s="338" t="s">
        <v>139</v>
      </c>
      <c r="K20" s="348">
        <v>200805</v>
      </c>
      <c r="L20" s="326">
        <v>101955.43</v>
      </c>
      <c r="M20" s="485">
        <f>[1]MAY!M20</f>
        <v>13507300</v>
      </c>
      <c r="N20" s="485">
        <f>[1]MAY!N20-110012.1+110045.4-109098+109197</f>
        <v>13461486.060000001</v>
      </c>
      <c r="O20" s="469">
        <v>0</v>
      </c>
      <c r="P20" s="339">
        <f t="shared" si="4"/>
        <v>13563441.49</v>
      </c>
      <c r="Q20" s="338" t="s">
        <v>139</v>
      </c>
      <c r="R20" s="469">
        <f t="shared" si="5"/>
        <v>13507300</v>
      </c>
      <c r="S20" s="337">
        <f t="shared" si="6"/>
        <v>13461486.060000001</v>
      </c>
    </row>
    <row r="21" spans="1:19" ht="18">
      <c r="A21" s="338" t="s">
        <v>140</v>
      </c>
      <c r="B21" s="348">
        <v>200903</v>
      </c>
      <c r="C21" s="471">
        <v>0</v>
      </c>
      <c r="D21" s="485">
        <f>[1]MAY!D21</f>
        <v>0</v>
      </c>
      <c r="E21" s="485">
        <f>[1]MAY!E21</f>
        <v>0</v>
      </c>
      <c r="F21" s="330">
        <f t="shared" si="0"/>
        <v>0</v>
      </c>
      <c r="G21" s="329">
        <f t="shared" si="1"/>
        <v>0</v>
      </c>
      <c r="H21" s="328">
        <f t="shared" si="2"/>
        <v>0</v>
      </c>
      <c r="I21" s="327">
        <f t="shared" ref="I21:I81" si="7">G21*2</f>
        <v>0</v>
      </c>
      <c r="J21" s="338" t="s">
        <v>140</v>
      </c>
      <c r="K21" s="348">
        <v>200903</v>
      </c>
      <c r="L21" s="326">
        <v>1819554.32</v>
      </c>
      <c r="M21" s="485">
        <f>[1]MAY!M21-1773000</f>
        <v>3973360</v>
      </c>
      <c r="N21" s="485">
        <f>[1]MAY!N21-2546135.9+2546906.6-1773000</f>
        <v>3951266.6</v>
      </c>
      <c r="O21" s="469">
        <v>0</v>
      </c>
      <c r="P21" s="339">
        <f t="shared" si="4"/>
        <v>5770820.9199999999</v>
      </c>
      <c r="Q21" s="338" t="s">
        <v>140</v>
      </c>
      <c r="R21" s="469">
        <f t="shared" si="5"/>
        <v>3973360</v>
      </c>
      <c r="S21" s="337">
        <f t="shared" si="6"/>
        <v>3951266.6</v>
      </c>
    </row>
    <row r="22" spans="1:19" ht="18">
      <c r="A22" s="338" t="s">
        <v>141</v>
      </c>
      <c r="B22" s="348">
        <v>200904</v>
      </c>
      <c r="C22" s="471">
        <v>0</v>
      </c>
      <c r="D22" s="485">
        <f>[1]MAY!D22</f>
        <v>0</v>
      </c>
      <c r="E22" s="485">
        <f>[1]MAY!E22</f>
        <v>0</v>
      </c>
      <c r="F22" s="330">
        <f t="shared" si="0"/>
        <v>0</v>
      </c>
      <c r="G22" s="329">
        <f t="shared" si="1"/>
        <v>0</v>
      </c>
      <c r="H22" s="328">
        <f t="shared" si="2"/>
        <v>0</v>
      </c>
      <c r="I22" s="327">
        <f t="shared" si="7"/>
        <v>0</v>
      </c>
      <c r="J22" s="338" t="s">
        <v>141</v>
      </c>
      <c r="K22" s="348">
        <v>200904</v>
      </c>
      <c r="L22" s="326">
        <v>48506.89</v>
      </c>
      <c r="M22" s="485">
        <f>[1]MAY!M22</f>
        <v>5890780</v>
      </c>
      <c r="N22" s="485">
        <f>[1]MAY!N22-2166488.59+2170636.86</f>
        <v>5869963.5800000001</v>
      </c>
      <c r="O22" s="469">
        <v>0</v>
      </c>
      <c r="P22" s="339">
        <f t="shared" si="4"/>
        <v>5918470.4699999997</v>
      </c>
      <c r="Q22" s="338" t="s">
        <v>141</v>
      </c>
      <c r="R22" s="469">
        <f t="shared" si="5"/>
        <v>5890780</v>
      </c>
      <c r="S22" s="337">
        <f t="shared" si="6"/>
        <v>5869963.5800000001</v>
      </c>
    </row>
    <row r="23" spans="1:19" ht="18">
      <c r="A23" s="325" t="s">
        <v>142</v>
      </c>
      <c r="B23" s="335" t="s">
        <v>120</v>
      </c>
      <c r="C23" s="471">
        <v>0</v>
      </c>
      <c r="D23" s="485">
        <f>[1]MAY!D23</f>
        <v>0</v>
      </c>
      <c r="E23" s="485">
        <f>[1]MAY!E23</f>
        <v>0</v>
      </c>
      <c r="F23" s="330">
        <f t="shared" si="0"/>
        <v>0</v>
      </c>
      <c r="G23" s="329">
        <f t="shared" si="1"/>
        <v>0</v>
      </c>
      <c r="H23" s="328">
        <f t="shared" si="2"/>
        <v>0</v>
      </c>
      <c r="I23" s="327">
        <f t="shared" si="7"/>
        <v>0</v>
      </c>
      <c r="J23" s="325" t="s">
        <v>142</v>
      </c>
      <c r="K23" s="335" t="s">
        <v>120</v>
      </c>
      <c r="L23" s="326">
        <v>190119.82</v>
      </c>
      <c r="M23" s="485">
        <f>[1]MAY!M23</f>
        <v>13469915</v>
      </c>
      <c r="N23" s="485">
        <f>[1]MAY!N23-166504.8+166555.2-4323054.18+4331331.72</f>
        <v>13384634.140000001</v>
      </c>
      <c r="O23" s="469">
        <v>0</v>
      </c>
      <c r="P23" s="324">
        <f t="shared" si="4"/>
        <v>13574753.960000001</v>
      </c>
      <c r="Q23" s="323" t="s">
        <v>142</v>
      </c>
      <c r="R23" s="469">
        <f t="shared" si="5"/>
        <v>13469915</v>
      </c>
      <c r="S23" s="322">
        <f t="shared" si="6"/>
        <v>13384634.140000001</v>
      </c>
    </row>
    <row r="24" spans="1:19" ht="18">
      <c r="A24" s="321" t="s">
        <v>143</v>
      </c>
      <c r="B24" s="348">
        <v>201003</v>
      </c>
      <c r="C24" s="471">
        <v>0</v>
      </c>
      <c r="D24" s="485">
        <f>[1]MAY!D24</f>
        <v>0</v>
      </c>
      <c r="E24" s="485">
        <f>[1]MAY!E24</f>
        <v>0</v>
      </c>
      <c r="F24" s="330">
        <f t="shared" si="0"/>
        <v>0</v>
      </c>
      <c r="G24" s="320">
        <f t="shared" si="1"/>
        <v>0</v>
      </c>
      <c r="H24" s="328">
        <f t="shared" si="2"/>
        <v>0</v>
      </c>
      <c r="I24" s="327">
        <f t="shared" si="7"/>
        <v>0</v>
      </c>
      <c r="J24" s="321" t="s">
        <v>143</v>
      </c>
      <c r="K24" s="348">
        <v>201003</v>
      </c>
      <c r="L24" s="326">
        <v>662.21</v>
      </c>
      <c r="M24" s="485">
        <f>[1]MAY!M24</f>
        <v>3786430</v>
      </c>
      <c r="N24" s="485">
        <f>[1]MAY!N24</f>
        <v>3786430</v>
      </c>
      <c r="O24" s="469">
        <v>0</v>
      </c>
      <c r="P24" s="324">
        <f t="shared" si="4"/>
        <v>3787092.21</v>
      </c>
      <c r="Q24" s="321" t="s">
        <v>143</v>
      </c>
      <c r="R24" s="469">
        <f t="shared" si="5"/>
        <v>3786430</v>
      </c>
      <c r="S24" s="322">
        <f t="shared" si="6"/>
        <v>3786430</v>
      </c>
    </row>
    <row r="25" spans="1:19" ht="18">
      <c r="A25" s="321" t="s">
        <v>144</v>
      </c>
      <c r="B25" s="335">
        <v>201005</v>
      </c>
      <c r="C25" s="471">
        <v>0</v>
      </c>
      <c r="D25" s="485">
        <f>[1]MAY!D25</f>
        <v>0</v>
      </c>
      <c r="E25" s="485">
        <f>[1]MAY!E25</f>
        <v>0</v>
      </c>
      <c r="F25" s="330">
        <f t="shared" si="0"/>
        <v>0</v>
      </c>
      <c r="G25" s="320">
        <f t="shared" si="1"/>
        <v>0</v>
      </c>
      <c r="H25" s="328">
        <f t="shared" si="2"/>
        <v>0</v>
      </c>
      <c r="I25" s="327">
        <f t="shared" si="7"/>
        <v>0</v>
      </c>
      <c r="J25" s="321" t="s">
        <v>144</v>
      </c>
      <c r="K25" s="335">
        <v>201005</v>
      </c>
      <c r="L25" s="326">
        <v>22307.99</v>
      </c>
      <c r="M25" s="485">
        <f>[1]MAY!M25</f>
        <v>2738350</v>
      </c>
      <c r="N25" s="485">
        <f>[1]MAY!N25-1575970.86+1578988.44</f>
        <v>2729138.44</v>
      </c>
      <c r="O25" s="469">
        <v>0</v>
      </c>
      <c r="P25" s="319">
        <f t="shared" si="4"/>
        <v>2751446.43</v>
      </c>
      <c r="Q25" s="318" t="s">
        <v>144</v>
      </c>
      <c r="R25" s="469">
        <f t="shared" si="5"/>
        <v>2738350</v>
      </c>
      <c r="S25" s="317">
        <f t="shared" si="6"/>
        <v>2729138.44</v>
      </c>
    </row>
    <row r="26" spans="1:19" ht="18">
      <c r="A26" s="316" t="s">
        <v>145</v>
      </c>
      <c r="B26" s="335" t="s">
        <v>120</v>
      </c>
      <c r="C26" s="471">
        <v>0</v>
      </c>
      <c r="D26" s="485">
        <f>[1]MAY!D26</f>
        <v>5000000</v>
      </c>
      <c r="E26" s="485">
        <f>[1]MAY!E26</f>
        <v>4992300</v>
      </c>
      <c r="F26" s="330">
        <f t="shared" si="0"/>
        <v>0</v>
      </c>
      <c r="G26" s="315">
        <f t="shared" si="1"/>
        <v>4992300</v>
      </c>
      <c r="H26" s="328">
        <f>E26*2</f>
        <v>9984600</v>
      </c>
      <c r="I26" s="327">
        <f t="shared" si="7"/>
        <v>9984600</v>
      </c>
      <c r="J26" s="316" t="s">
        <v>145</v>
      </c>
      <c r="K26" s="335" t="s">
        <v>120</v>
      </c>
      <c r="L26" s="326">
        <v>618116.53</v>
      </c>
      <c r="M26" s="485">
        <f>[1]MAY!M26</f>
        <v>50598650</v>
      </c>
      <c r="N26" s="485">
        <f>[1]MAY!N26-4427243.7+4428583.8-684342+684963-25767550.25+25816888.5</f>
        <v>50321518.82</v>
      </c>
      <c r="O26" s="469">
        <v>0</v>
      </c>
      <c r="P26" s="314">
        <f t="shared" si="4"/>
        <v>50939635.350000001</v>
      </c>
      <c r="Q26" s="313" t="s">
        <v>145</v>
      </c>
      <c r="R26" s="469">
        <f t="shared" si="5"/>
        <v>60598650</v>
      </c>
      <c r="S26" s="312">
        <f t="shared" si="6"/>
        <v>60306118.82</v>
      </c>
    </row>
    <row r="27" spans="1:19" ht="18">
      <c r="A27" s="311" t="s">
        <v>146</v>
      </c>
      <c r="B27" s="335">
        <v>201006</v>
      </c>
      <c r="C27" s="471">
        <v>0</v>
      </c>
      <c r="D27" s="485">
        <f>[1]MAY!D27</f>
        <v>0</v>
      </c>
      <c r="E27" s="485">
        <f>[1]MAY!E27</f>
        <v>0</v>
      </c>
      <c r="F27" s="330">
        <f t="shared" si="0"/>
        <v>0</v>
      </c>
      <c r="G27" s="310">
        <f t="shared" si="1"/>
        <v>0</v>
      </c>
      <c r="H27" s="328">
        <f>E27*2</f>
        <v>0</v>
      </c>
      <c r="I27" s="327">
        <f t="shared" si="7"/>
        <v>0</v>
      </c>
      <c r="J27" s="311" t="s">
        <v>146</v>
      </c>
      <c r="K27" s="335">
        <v>201006</v>
      </c>
      <c r="L27" s="326">
        <v>28804.18</v>
      </c>
      <c r="M27" s="485">
        <f>[1]MAY!M27</f>
        <v>4776330</v>
      </c>
      <c r="N27" s="485">
        <f>[1]MAY!N27-101092.2+101122.8-1712640.24+1714194.36</f>
        <v>4762847.16</v>
      </c>
      <c r="O27" s="469">
        <v>0</v>
      </c>
      <c r="P27" s="309">
        <f t="shared" si="4"/>
        <v>4791651.34</v>
      </c>
      <c r="Q27" s="308" t="s">
        <v>146</v>
      </c>
      <c r="R27" s="469">
        <f t="shared" si="5"/>
        <v>4776330</v>
      </c>
      <c r="S27" s="307">
        <f t="shared" si="6"/>
        <v>4762847.16</v>
      </c>
    </row>
    <row r="28" spans="1:19" ht="18">
      <c r="A28" s="308" t="s">
        <v>147</v>
      </c>
      <c r="B28" s="335">
        <v>201007</v>
      </c>
      <c r="C28" s="471">
        <v>0</v>
      </c>
      <c r="D28" s="485">
        <f>[1]MAY!D28</f>
        <v>0</v>
      </c>
      <c r="E28" s="485">
        <f>[1]MAY!E28</f>
        <v>0</v>
      </c>
      <c r="F28" s="330">
        <f t="shared" si="0"/>
        <v>0</v>
      </c>
      <c r="G28" s="306">
        <f t="shared" si="1"/>
        <v>0</v>
      </c>
      <c r="H28" s="328">
        <f>E28*2</f>
        <v>0</v>
      </c>
      <c r="I28" s="327">
        <f t="shared" si="7"/>
        <v>0</v>
      </c>
      <c r="J28" s="308" t="s">
        <v>147</v>
      </c>
      <c r="K28" s="335">
        <v>201007</v>
      </c>
      <c r="L28" s="326">
        <v>223592.25</v>
      </c>
      <c r="M28" s="485">
        <f>[1]MAY!M28-168550</f>
        <v>5623890</v>
      </c>
      <c r="N28" s="485">
        <f>[1]MAY!N28-1120116.44+1120455.5-168550</f>
        <v>5614170.5</v>
      </c>
      <c r="O28" s="469">
        <v>0</v>
      </c>
      <c r="P28" s="305">
        <f t="shared" si="4"/>
        <v>5837762.75</v>
      </c>
      <c r="Q28" s="304" t="s">
        <v>147</v>
      </c>
      <c r="R28" s="469">
        <f t="shared" si="5"/>
        <v>5623890</v>
      </c>
      <c r="S28" s="303">
        <f t="shared" si="6"/>
        <v>5614170.5</v>
      </c>
    </row>
    <row r="29" spans="1:19" ht="18">
      <c r="A29" s="304" t="s">
        <v>148</v>
      </c>
      <c r="B29" s="335">
        <v>201008</v>
      </c>
      <c r="C29" s="471">
        <v>0</v>
      </c>
      <c r="D29" s="485">
        <f>[1]MAY!D29</f>
        <v>0</v>
      </c>
      <c r="E29" s="485">
        <f>[1]MAY!E29</f>
        <v>0</v>
      </c>
      <c r="F29" s="330">
        <f t="shared" si="0"/>
        <v>0</v>
      </c>
      <c r="G29" s="302">
        <f t="shared" si="1"/>
        <v>0</v>
      </c>
      <c r="H29" s="328">
        <f t="shared" ref="H29:H81" si="8">E29*2</f>
        <v>0</v>
      </c>
      <c r="I29" s="327">
        <f t="shared" si="7"/>
        <v>0</v>
      </c>
      <c r="J29" s="304" t="s">
        <v>148</v>
      </c>
      <c r="K29" s="335">
        <v>201008</v>
      </c>
      <c r="L29" s="326">
        <v>45556.89</v>
      </c>
      <c r="M29" s="485">
        <f>[1]MAY!M29</f>
        <v>3530450</v>
      </c>
      <c r="N29" s="485">
        <f>[1]MAY!N29-1005966.5+1006271</f>
        <v>3521721</v>
      </c>
      <c r="O29" s="469">
        <v>0</v>
      </c>
      <c r="P29" s="301">
        <f t="shared" si="4"/>
        <v>3567277.89</v>
      </c>
      <c r="Q29" s="300" t="s">
        <v>148</v>
      </c>
      <c r="R29" s="469">
        <f t="shared" si="5"/>
        <v>3530450</v>
      </c>
      <c r="S29" s="299">
        <f t="shared" si="6"/>
        <v>3521721</v>
      </c>
    </row>
    <row r="30" spans="1:19" ht="18">
      <c r="A30" s="300" t="s">
        <v>149</v>
      </c>
      <c r="B30" s="335">
        <v>201009</v>
      </c>
      <c r="C30" s="471">
        <v>0</v>
      </c>
      <c r="D30" s="485">
        <f>[1]MAY!D30</f>
        <v>0</v>
      </c>
      <c r="E30" s="485">
        <f>[1]MAY!E30</f>
        <v>0</v>
      </c>
      <c r="F30" s="330">
        <f t="shared" si="0"/>
        <v>0</v>
      </c>
      <c r="G30" s="298">
        <f t="shared" si="1"/>
        <v>0</v>
      </c>
      <c r="H30" s="328">
        <f t="shared" si="8"/>
        <v>0</v>
      </c>
      <c r="I30" s="327">
        <f t="shared" si="7"/>
        <v>0</v>
      </c>
      <c r="J30" s="300" t="s">
        <v>149</v>
      </c>
      <c r="K30" s="335">
        <v>201009</v>
      </c>
      <c r="L30" s="326">
        <v>45746.75</v>
      </c>
      <c r="M30" s="485">
        <f>[1]MAY!M30</f>
        <v>1530000</v>
      </c>
      <c r="N30" s="485">
        <f>[1]MAY!N30-1010922+1011228</f>
        <v>1521228</v>
      </c>
      <c r="O30" s="469">
        <v>0</v>
      </c>
      <c r="P30" s="297">
        <f t="shared" si="4"/>
        <v>1566974.75</v>
      </c>
      <c r="Q30" s="296" t="s">
        <v>149</v>
      </c>
      <c r="R30" s="469">
        <f t="shared" si="5"/>
        <v>1530000</v>
      </c>
      <c r="S30" s="295">
        <f t="shared" si="6"/>
        <v>1521228</v>
      </c>
    </row>
    <row r="31" spans="1:19" ht="18">
      <c r="A31" s="296" t="s">
        <v>150</v>
      </c>
      <c r="B31" s="335">
        <v>201102</v>
      </c>
      <c r="C31" s="471">
        <v>0</v>
      </c>
      <c r="D31" s="485">
        <f>[1]MAY!D31</f>
        <v>0</v>
      </c>
      <c r="E31" s="485">
        <f>[1]MAY!E31</f>
        <v>0</v>
      </c>
      <c r="F31" s="330">
        <f t="shared" si="0"/>
        <v>0</v>
      </c>
      <c r="G31" s="294">
        <f t="shared" si="1"/>
        <v>0</v>
      </c>
      <c r="H31" s="328">
        <f t="shared" si="8"/>
        <v>0</v>
      </c>
      <c r="I31" s="327">
        <f t="shared" si="7"/>
        <v>0</v>
      </c>
      <c r="J31" s="296" t="s">
        <v>150</v>
      </c>
      <c r="K31" s="335">
        <v>201102</v>
      </c>
      <c r="L31" s="326">
        <v>1064266.52</v>
      </c>
      <c r="M31" s="485">
        <f>[1]MAY!M31-969000</f>
        <v>4208470</v>
      </c>
      <c r="N31" s="485">
        <f>[1]MAY!N31-735396.2+735618.8-1212673.86+1213774.29-2115484.37+2119534.98-969000</f>
        <v>4180798.07</v>
      </c>
      <c r="O31" s="469">
        <v>0</v>
      </c>
      <c r="P31" s="293">
        <f t="shared" si="4"/>
        <v>5245064.59</v>
      </c>
      <c r="Q31" s="292" t="s">
        <v>150</v>
      </c>
      <c r="R31" s="469">
        <f t="shared" si="5"/>
        <v>4208470</v>
      </c>
      <c r="S31" s="291">
        <f t="shared" si="6"/>
        <v>4180798.07</v>
      </c>
    </row>
    <row r="32" spans="1:19" ht="18">
      <c r="A32" s="292" t="s">
        <v>151</v>
      </c>
      <c r="B32" s="335">
        <v>201104</v>
      </c>
      <c r="C32" s="471">
        <v>0</v>
      </c>
      <c r="D32" s="485">
        <f>[1]MAY!D32</f>
        <v>0</v>
      </c>
      <c r="E32" s="485">
        <f>[1]MAY!E32</f>
        <v>0</v>
      </c>
      <c r="F32" s="330">
        <f t="shared" si="0"/>
        <v>0</v>
      </c>
      <c r="G32" s="290">
        <f t="shared" si="1"/>
        <v>0</v>
      </c>
      <c r="H32" s="328">
        <f t="shared" si="8"/>
        <v>0</v>
      </c>
      <c r="I32" s="327">
        <f t="shared" si="7"/>
        <v>0</v>
      </c>
      <c r="J32" s="292" t="s">
        <v>151</v>
      </c>
      <c r="K32" s="335">
        <v>201104</v>
      </c>
      <c r="L32" s="326">
        <v>40881.379999999997</v>
      </c>
      <c r="M32" s="485">
        <f>[1]MAY!M32</f>
        <v>2183750</v>
      </c>
      <c r="N32" s="485">
        <f>[1]MAY!N32-1053390.78+1054346.67</f>
        <v>2175996.67</v>
      </c>
      <c r="O32" s="469">
        <v>0</v>
      </c>
      <c r="P32" s="289">
        <f t="shared" si="4"/>
        <v>2216878.0499999998</v>
      </c>
      <c r="Q32" s="288" t="s">
        <v>151</v>
      </c>
      <c r="R32" s="469">
        <f t="shared" si="5"/>
        <v>2183750</v>
      </c>
      <c r="S32" s="287">
        <f t="shared" si="6"/>
        <v>2175996.67</v>
      </c>
    </row>
    <row r="33" spans="1:19" ht="18">
      <c r="A33" s="288" t="s">
        <v>152</v>
      </c>
      <c r="B33" s="286">
        <v>201105</v>
      </c>
      <c r="C33" s="471">
        <v>0</v>
      </c>
      <c r="D33" s="485">
        <f>[1]MAY!D33</f>
        <v>0</v>
      </c>
      <c r="E33" s="485">
        <f>[1]MAY!E33</f>
        <v>0</v>
      </c>
      <c r="F33" s="330">
        <f t="shared" si="0"/>
        <v>0</v>
      </c>
      <c r="G33" s="285">
        <f t="shared" si="1"/>
        <v>0</v>
      </c>
      <c r="H33" s="328">
        <f t="shared" si="8"/>
        <v>0</v>
      </c>
      <c r="I33" s="327">
        <f t="shared" si="7"/>
        <v>0</v>
      </c>
      <c r="J33" s="288" t="s">
        <v>152</v>
      </c>
      <c r="K33" s="286">
        <v>201105</v>
      </c>
      <c r="L33" s="326">
        <v>26858.36</v>
      </c>
      <c r="M33" s="485">
        <f>[1]MAY!M33</f>
        <v>2727405</v>
      </c>
      <c r="N33" s="485">
        <f>[1]MAY!N33-1081062+1082043</f>
        <v>2719448</v>
      </c>
      <c r="O33" s="469">
        <v>0</v>
      </c>
      <c r="P33" s="289">
        <f t="shared" si="4"/>
        <v>2746306.36</v>
      </c>
      <c r="Q33" s="288" t="s">
        <v>152</v>
      </c>
      <c r="R33" s="469">
        <f t="shared" si="5"/>
        <v>2727405</v>
      </c>
      <c r="S33" s="287">
        <f t="shared" si="6"/>
        <v>2719448</v>
      </c>
    </row>
    <row r="34" spans="1:19" ht="18">
      <c r="A34" s="288" t="s">
        <v>153</v>
      </c>
      <c r="B34" s="335">
        <v>201106</v>
      </c>
      <c r="C34" s="471">
        <v>0</v>
      </c>
      <c r="D34" s="485">
        <f>[1]MAY!D34</f>
        <v>0</v>
      </c>
      <c r="E34" s="485">
        <f>[1]MAY!E34</f>
        <v>0</v>
      </c>
      <c r="F34" s="330">
        <f t="shared" si="0"/>
        <v>0</v>
      </c>
      <c r="G34" s="285">
        <f t="shared" si="1"/>
        <v>0</v>
      </c>
      <c r="H34" s="328">
        <f t="shared" si="8"/>
        <v>0</v>
      </c>
      <c r="I34" s="327">
        <f t="shared" si="7"/>
        <v>0</v>
      </c>
      <c r="J34" s="288" t="s">
        <v>153</v>
      </c>
      <c r="K34" s="335">
        <v>201106</v>
      </c>
      <c r="L34" s="326">
        <v>48402.23</v>
      </c>
      <c r="M34" s="485">
        <f>[1]MAY!M34</f>
        <v>2731210</v>
      </c>
      <c r="N34" s="485">
        <f>[1]MAY!N34-185335.7+185391.8-1539273.6+1540670.4</f>
        <v>2718272.2</v>
      </c>
      <c r="O34" s="469">
        <v>0</v>
      </c>
      <c r="P34" s="284">
        <f t="shared" si="4"/>
        <v>2766674.43</v>
      </c>
      <c r="Q34" s="283" t="s">
        <v>153</v>
      </c>
      <c r="R34" s="469">
        <f t="shared" si="5"/>
        <v>2731210</v>
      </c>
      <c r="S34" s="282">
        <f t="shared" si="6"/>
        <v>2718272.2</v>
      </c>
    </row>
    <row r="35" spans="1:19" ht="18">
      <c r="A35" s="283" t="s">
        <v>154</v>
      </c>
      <c r="B35" s="281">
        <v>201107</v>
      </c>
      <c r="C35" s="471">
        <v>0</v>
      </c>
      <c r="D35" s="485">
        <f>[1]MAY!D35</f>
        <v>0</v>
      </c>
      <c r="E35" s="485">
        <f>[1]MAY!E35</f>
        <v>0</v>
      </c>
      <c r="F35" s="330">
        <f t="shared" si="0"/>
        <v>0</v>
      </c>
      <c r="G35" s="280">
        <f t="shared" si="1"/>
        <v>0</v>
      </c>
      <c r="H35" s="328">
        <f t="shared" si="8"/>
        <v>0</v>
      </c>
      <c r="I35" s="327">
        <f t="shared" si="7"/>
        <v>0</v>
      </c>
      <c r="J35" s="283" t="s">
        <v>154</v>
      </c>
      <c r="K35" s="281">
        <v>201107</v>
      </c>
      <c r="L35" s="326">
        <v>24876.54</v>
      </c>
      <c r="M35" s="485">
        <f>[1]MAY!M35</f>
        <v>3017100</v>
      </c>
      <c r="N35" s="485">
        <f>[1]MAY!N35-1303820.28+1305003.42</f>
        <v>3007503.42</v>
      </c>
      <c r="O35" s="469">
        <v>0</v>
      </c>
      <c r="P35" s="284">
        <f t="shared" si="4"/>
        <v>3032379.96</v>
      </c>
      <c r="Q35" s="283" t="s">
        <v>154</v>
      </c>
      <c r="R35" s="469">
        <f t="shared" si="5"/>
        <v>3017100</v>
      </c>
      <c r="S35" s="282">
        <f t="shared" si="6"/>
        <v>3007503.42</v>
      </c>
    </row>
    <row r="36" spans="1:19" ht="18">
      <c r="A36" s="283" t="s">
        <v>155</v>
      </c>
      <c r="B36" s="335">
        <v>201108</v>
      </c>
      <c r="C36" s="471">
        <v>0</v>
      </c>
      <c r="D36" s="485">
        <f>[1]MAY!D36</f>
        <v>0</v>
      </c>
      <c r="E36" s="485">
        <f>[1]MAY!E36</f>
        <v>0</v>
      </c>
      <c r="F36" s="330">
        <f t="shared" si="0"/>
        <v>0</v>
      </c>
      <c r="G36" s="280">
        <f t="shared" si="1"/>
        <v>0</v>
      </c>
      <c r="H36" s="328">
        <f t="shared" si="8"/>
        <v>0</v>
      </c>
      <c r="I36" s="327">
        <f t="shared" si="7"/>
        <v>0</v>
      </c>
      <c r="J36" s="283" t="s">
        <v>155</v>
      </c>
      <c r="K36" s="335">
        <v>201108</v>
      </c>
      <c r="L36" s="326">
        <v>16416.53</v>
      </c>
      <c r="M36" s="485">
        <f>[1]MAY!M36</f>
        <v>2182415</v>
      </c>
      <c r="N36" s="485">
        <f>[1]MAY!N36-1035240.84+1036180.26</f>
        <v>2174795.2599999998</v>
      </c>
      <c r="O36" s="469">
        <v>0</v>
      </c>
      <c r="P36" s="279">
        <f t="shared" si="4"/>
        <v>2191211.79</v>
      </c>
      <c r="Q36" s="278" t="s">
        <v>155</v>
      </c>
      <c r="R36" s="469">
        <f t="shared" si="5"/>
        <v>2182415</v>
      </c>
      <c r="S36" s="277">
        <f t="shared" si="6"/>
        <v>2174795.2599999998</v>
      </c>
    </row>
    <row r="37" spans="1:19" ht="18">
      <c r="A37" s="278" t="s">
        <v>156</v>
      </c>
      <c r="B37" s="335">
        <v>201201</v>
      </c>
      <c r="C37" s="471">
        <v>0</v>
      </c>
      <c r="D37" s="485">
        <f>[1]MAY!D37</f>
        <v>0</v>
      </c>
      <c r="E37" s="485">
        <f>[1]MAY!E37</f>
        <v>0</v>
      </c>
      <c r="F37" s="330">
        <f t="shared" si="0"/>
        <v>0</v>
      </c>
      <c r="G37" s="276">
        <f t="shared" si="1"/>
        <v>0</v>
      </c>
      <c r="H37" s="328">
        <f t="shared" si="8"/>
        <v>0</v>
      </c>
      <c r="I37" s="327">
        <f t="shared" si="7"/>
        <v>0</v>
      </c>
      <c r="J37" s="278" t="s">
        <v>156</v>
      </c>
      <c r="K37" s="335">
        <v>201201</v>
      </c>
      <c r="L37" s="326">
        <v>41903.08</v>
      </c>
      <c r="M37" s="485">
        <f>[1]MAY!M37</f>
        <v>5359170</v>
      </c>
      <c r="N37" s="485">
        <f>[1]MAY!N37-165513.7+165563.8-1452292.74+1453610.61</f>
        <v>5347044.41</v>
      </c>
      <c r="O37" s="469">
        <v>0</v>
      </c>
      <c r="P37" s="275">
        <f t="shared" si="4"/>
        <v>5388947.4900000002</v>
      </c>
      <c r="Q37" s="274" t="s">
        <v>156</v>
      </c>
      <c r="R37" s="469">
        <f t="shared" si="5"/>
        <v>5359170</v>
      </c>
      <c r="S37" s="273">
        <f t="shared" si="6"/>
        <v>5347044.41</v>
      </c>
    </row>
    <row r="38" spans="1:19" ht="18">
      <c r="A38" s="272" t="s">
        <v>157</v>
      </c>
      <c r="B38" s="335">
        <v>201202</v>
      </c>
      <c r="C38" s="471">
        <v>0</v>
      </c>
      <c r="D38" s="485">
        <f>[1]MAY!D38</f>
        <v>0</v>
      </c>
      <c r="E38" s="485">
        <f>[1]MAY!E38</f>
        <v>0</v>
      </c>
      <c r="F38" s="330">
        <f t="shared" si="0"/>
        <v>0</v>
      </c>
      <c r="G38" s="271">
        <f t="shared" si="1"/>
        <v>0</v>
      </c>
      <c r="H38" s="328">
        <f t="shared" si="8"/>
        <v>0</v>
      </c>
      <c r="I38" s="327">
        <f t="shared" si="7"/>
        <v>0</v>
      </c>
      <c r="J38" s="272" t="s">
        <v>157</v>
      </c>
      <c r="K38" s="335">
        <v>201202</v>
      </c>
      <c r="L38" s="326">
        <v>17081.18</v>
      </c>
      <c r="M38" s="485">
        <f>[1]MAY!M38</f>
        <v>2184300</v>
      </c>
      <c r="N38" s="485">
        <f>[1]MAY!N38-1036530.18+1037470.77</f>
        <v>2176670.77</v>
      </c>
      <c r="O38" s="469">
        <v>0</v>
      </c>
      <c r="P38" s="270">
        <f t="shared" si="4"/>
        <v>2193751.9500000002</v>
      </c>
      <c r="Q38" s="269" t="s">
        <v>157</v>
      </c>
      <c r="R38" s="469">
        <f t="shared" si="5"/>
        <v>2184300</v>
      </c>
      <c r="S38" s="268">
        <f t="shared" si="6"/>
        <v>2176670.77</v>
      </c>
    </row>
    <row r="39" spans="1:19" ht="18">
      <c r="A39" s="269" t="s">
        <v>158</v>
      </c>
      <c r="B39" s="335">
        <v>201204</v>
      </c>
      <c r="C39" s="471">
        <v>0</v>
      </c>
      <c r="D39" s="485">
        <f>[1]MAY!D39</f>
        <v>0</v>
      </c>
      <c r="E39" s="485">
        <f>[1]MAY!E39</f>
        <v>0</v>
      </c>
      <c r="F39" s="330">
        <f t="shared" si="0"/>
        <v>0</v>
      </c>
      <c r="G39" s="267">
        <f t="shared" si="1"/>
        <v>0</v>
      </c>
      <c r="H39" s="328">
        <f t="shared" si="8"/>
        <v>0</v>
      </c>
      <c r="I39" s="327">
        <f t="shared" si="7"/>
        <v>0</v>
      </c>
      <c r="J39" s="269" t="s">
        <v>158</v>
      </c>
      <c r="K39" s="335">
        <v>201204</v>
      </c>
      <c r="L39" s="326">
        <v>33730.949999999997</v>
      </c>
      <c r="M39" s="485">
        <f>[1]MAY!M39</f>
        <v>2167960</v>
      </c>
      <c r="N39" s="485">
        <f>[1]MAY!N39-89199+89226-1042510.38+1044506.52</f>
        <v>2161092.52</v>
      </c>
      <c r="O39" s="469">
        <v>0</v>
      </c>
      <c r="P39" s="266">
        <f t="shared" si="4"/>
        <v>2194823.4700000002</v>
      </c>
      <c r="Q39" s="265" t="s">
        <v>158</v>
      </c>
      <c r="R39" s="469">
        <f t="shared" si="5"/>
        <v>2167960</v>
      </c>
      <c r="S39" s="264">
        <f t="shared" si="6"/>
        <v>2161092.52</v>
      </c>
    </row>
    <row r="40" spans="1:19" ht="18">
      <c r="A40" s="265" t="s">
        <v>159</v>
      </c>
      <c r="B40" s="263">
        <v>201205</v>
      </c>
      <c r="C40" s="471">
        <v>0</v>
      </c>
      <c r="D40" s="485">
        <f>[1]MAY!D40</f>
        <v>0</v>
      </c>
      <c r="E40" s="485">
        <f>[1]MAY!E40</f>
        <v>0</v>
      </c>
      <c r="F40" s="330">
        <f t="shared" si="0"/>
        <v>0</v>
      </c>
      <c r="G40" s="262">
        <f t="shared" si="1"/>
        <v>0</v>
      </c>
      <c r="H40" s="328">
        <f t="shared" si="8"/>
        <v>0</v>
      </c>
      <c r="I40" s="327">
        <f t="shared" si="7"/>
        <v>0</v>
      </c>
      <c r="J40" s="265" t="s">
        <v>159</v>
      </c>
      <c r="K40" s="263">
        <v>201205</v>
      </c>
      <c r="L40" s="326">
        <v>23132.57</v>
      </c>
      <c r="M40" s="485">
        <f>[1]MAY!M40</f>
        <v>1626200</v>
      </c>
      <c r="N40" s="485">
        <f>[1]MAY!N40-1017206.73+1019154.42</f>
        <v>1620254.42</v>
      </c>
      <c r="O40" s="469">
        <v>0</v>
      </c>
      <c r="P40" s="261">
        <f t="shared" si="4"/>
        <v>1643386.99</v>
      </c>
      <c r="Q40" s="260" t="s">
        <v>159</v>
      </c>
      <c r="R40" s="469">
        <f t="shared" si="5"/>
        <v>1626200</v>
      </c>
      <c r="S40" s="259">
        <f t="shared" si="6"/>
        <v>1620254.42</v>
      </c>
    </row>
    <row r="41" spans="1:19" ht="18">
      <c r="A41" s="260" t="s">
        <v>160</v>
      </c>
      <c r="B41" s="348">
        <v>201206</v>
      </c>
      <c r="C41" s="471">
        <v>0</v>
      </c>
      <c r="D41" s="485">
        <f>[1]MAY!D41</f>
        <v>0</v>
      </c>
      <c r="E41" s="485">
        <f>[1]MAY!E41</f>
        <v>0</v>
      </c>
      <c r="F41" s="330">
        <f t="shared" si="0"/>
        <v>0</v>
      </c>
      <c r="G41" s="258">
        <f t="shared" si="1"/>
        <v>0</v>
      </c>
      <c r="H41" s="328">
        <f t="shared" si="8"/>
        <v>0</v>
      </c>
      <c r="I41" s="327">
        <f t="shared" si="7"/>
        <v>0</v>
      </c>
      <c r="J41" s="260" t="s">
        <v>160</v>
      </c>
      <c r="K41" s="348">
        <v>201206</v>
      </c>
      <c r="L41" s="326">
        <v>2737.06</v>
      </c>
      <c r="M41" s="485">
        <f>[1]MAY!M41</f>
        <v>2314785</v>
      </c>
      <c r="N41" s="485">
        <f>[1]MAY!N41</f>
        <v>2314785</v>
      </c>
      <c r="O41" s="469">
        <v>0</v>
      </c>
      <c r="P41" s="261">
        <f t="shared" si="4"/>
        <v>2317522.06</v>
      </c>
      <c r="Q41" s="260" t="s">
        <v>160</v>
      </c>
      <c r="R41" s="469">
        <f t="shared" si="5"/>
        <v>2314785</v>
      </c>
      <c r="S41" s="259">
        <f t="shared" si="6"/>
        <v>2314785</v>
      </c>
    </row>
    <row r="42" spans="1:19" ht="18">
      <c r="A42" s="257" t="s">
        <v>161</v>
      </c>
      <c r="B42" s="348">
        <v>201207</v>
      </c>
      <c r="C42" s="471">
        <v>0</v>
      </c>
      <c r="D42" s="485">
        <f>[1]MAY!D42</f>
        <v>0</v>
      </c>
      <c r="E42" s="485">
        <f>[1]MAY!E42</f>
        <v>0</v>
      </c>
      <c r="F42" s="330">
        <f t="shared" si="0"/>
        <v>0</v>
      </c>
      <c r="G42" s="258">
        <f t="shared" si="1"/>
        <v>0</v>
      </c>
      <c r="H42" s="328">
        <f t="shared" si="8"/>
        <v>0</v>
      </c>
      <c r="I42" s="327">
        <f t="shared" si="7"/>
        <v>0</v>
      </c>
      <c r="J42" s="257" t="s">
        <v>161</v>
      </c>
      <c r="K42" s="348">
        <v>201207</v>
      </c>
      <c r="L42" s="326">
        <v>1237.6099999999999</v>
      </c>
      <c r="M42" s="485">
        <f>[1]MAY!M42</f>
        <v>1027225</v>
      </c>
      <c r="N42" s="485">
        <f>[1]MAY!N42-10728.66+10731.91</f>
        <v>1027131.91</v>
      </c>
      <c r="O42" s="469">
        <v>0</v>
      </c>
      <c r="P42" s="261">
        <f t="shared" si="4"/>
        <v>1028369.52</v>
      </c>
      <c r="Q42" s="257" t="s">
        <v>161</v>
      </c>
      <c r="R42" s="469">
        <f t="shared" si="5"/>
        <v>1027225</v>
      </c>
      <c r="S42" s="259">
        <f t="shared" si="6"/>
        <v>1027131.91</v>
      </c>
    </row>
    <row r="43" spans="1:19" ht="18">
      <c r="A43" s="257" t="s">
        <v>162</v>
      </c>
      <c r="B43" s="348">
        <v>201208</v>
      </c>
      <c r="C43" s="471">
        <v>0</v>
      </c>
      <c r="D43" s="485">
        <f>[1]MAY!D43</f>
        <v>0</v>
      </c>
      <c r="E43" s="485">
        <f>[1]MAY!E43</f>
        <v>0</v>
      </c>
      <c r="F43" s="330">
        <f t="shared" si="0"/>
        <v>0</v>
      </c>
      <c r="G43" s="258">
        <f t="shared" si="1"/>
        <v>0</v>
      </c>
      <c r="H43" s="328">
        <f t="shared" si="8"/>
        <v>0</v>
      </c>
      <c r="I43" s="327">
        <f t="shared" si="7"/>
        <v>0</v>
      </c>
      <c r="J43" s="257" t="s">
        <v>162</v>
      </c>
      <c r="K43" s="348">
        <v>201208</v>
      </c>
      <c r="L43" s="326">
        <v>80298.259999999995</v>
      </c>
      <c r="M43" s="485">
        <f>[1]MAY!M43-78550</f>
        <v>1617305</v>
      </c>
      <c r="N43" s="485">
        <f>[1]MAY!N43-78550</f>
        <v>1617305</v>
      </c>
      <c r="O43" s="469">
        <v>0</v>
      </c>
      <c r="P43" s="261">
        <f t="shared" si="4"/>
        <v>1697603.26</v>
      </c>
      <c r="Q43" s="257" t="s">
        <v>162</v>
      </c>
      <c r="R43" s="469">
        <f t="shared" si="5"/>
        <v>1617305</v>
      </c>
      <c r="S43" s="259">
        <f t="shared" si="6"/>
        <v>1617305</v>
      </c>
    </row>
    <row r="44" spans="1:19" ht="18">
      <c r="A44" s="257" t="s">
        <v>163</v>
      </c>
      <c r="B44" s="335">
        <v>201209</v>
      </c>
      <c r="C44" s="471">
        <v>0</v>
      </c>
      <c r="D44" s="485">
        <f>[1]MAY!D44</f>
        <v>0</v>
      </c>
      <c r="E44" s="485">
        <f>[1]MAY!E44</f>
        <v>0</v>
      </c>
      <c r="F44" s="330">
        <f t="shared" si="0"/>
        <v>0</v>
      </c>
      <c r="G44" s="258">
        <f t="shared" si="1"/>
        <v>0</v>
      </c>
      <c r="H44" s="328">
        <f t="shared" si="8"/>
        <v>0</v>
      </c>
      <c r="I44" s="327">
        <f t="shared" si="7"/>
        <v>0</v>
      </c>
      <c r="J44" s="257" t="s">
        <v>163</v>
      </c>
      <c r="K44" s="335">
        <v>201209</v>
      </c>
      <c r="L44" s="326">
        <v>15985.69</v>
      </c>
      <c r="M44" s="485">
        <f>[1]MAY!M44</f>
        <v>1131615</v>
      </c>
      <c r="N44" s="485">
        <f>[1]MAY!N44-3274.59+3280.86</f>
        <v>1131595.8600000001</v>
      </c>
      <c r="O44" s="469">
        <v>0</v>
      </c>
      <c r="P44" s="256">
        <f t="shared" si="4"/>
        <v>1147581.55</v>
      </c>
      <c r="Q44" s="255" t="s">
        <v>163</v>
      </c>
      <c r="R44" s="469">
        <f t="shared" si="5"/>
        <v>1131615</v>
      </c>
      <c r="S44" s="254">
        <f t="shared" si="6"/>
        <v>1131595.8600000001</v>
      </c>
    </row>
    <row r="45" spans="1:19" ht="18">
      <c r="A45" s="255" t="s">
        <v>164</v>
      </c>
      <c r="B45" s="335">
        <v>201210</v>
      </c>
      <c r="C45" s="471">
        <v>0</v>
      </c>
      <c r="D45" s="485">
        <f>[1]MAY!D45</f>
        <v>0</v>
      </c>
      <c r="E45" s="485">
        <f>[1]MAY!E45</f>
        <v>0</v>
      </c>
      <c r="F45" s="330">
        <f t="shared" si="0"/>
        <v>0</v>
      </c>
      <c r="G45" s="253">
        <f t="shared" si="1"/>
        <v>0</v>
      </c>
      <c r="H45" s="328">
        <f t="shared" si="8"/>
        <v>0</v>
      </c>
      <c r="I45" s="327">
        <f t="shared" si="7"/>
        <v>0</v>
      </c>
      <c r="J45" s="255" t="s">
        <v>164</v>
      </c>
      <c r="K45" s="335">
        <v>201210</v>
      </c>
      <c r="L45" s="326">
        <v>796.9</v>
      </c>
      <c r="M45" s="485">
        <f>[1]MAY!M45</f>
        <v>518000</v>
      </c>
      <c r="N45" s="485">
        <f>[1]MAY!N45-17839.8+17845.2</f>
        <v>517845.2</v>
      </c>
      <c r="O45" s="469">
        <v>0</v>
      </c>
      <c r="P45" s="252">
        <f t="shared" si="4"/>
        <v>518642.1</v>
      </c>
      <c r="Q45" s="251" t="s">
        <v>164</v>
      </c>
      <c r="R45" s="469">
        <f t="shared" si="5"/>
        <v>518000</v>
      </c>
      <c r="S45" s="250">
        <f t="shared" si="6"/>
        <v>517845.2</v>
      </c>
    </row>
    <row r="46" spans="1:19" ht="18">
      <c r="A46" s="249" t="s">
        <v>165</v>
      </c>
      <c r="B46" s="335">
        <v>201301</v>
      </c>
      <c r="C46" s="471">
        <v>0</v>
      </c>
      <c r="D46" s="485">
        <f>[1]MAY!D46</f>
        <v>0</v>
      </c>
      <c r="E46" s="485">
        <f>[1]MAY!E46</f>
        <v>0</v>
      </c>
      <c r="F46" s="330">
        <f t="shared" si="0"/>
        <v>0</v>
      </c>
      <c r="G46" s="248">
        <f t="shared" si="1"/>
        <v>0</v>
      </c>
      <c r="H46" s="328">
        <f t="shared" si="8"/>
        <v>0</v>
      </c>
      <c r="I46" s="327">
        <f t="shared" si="7"/>
        <v>0</v>
      </c>
      <c r="J46" s="249" t="s">
        <v>165</v>
      </c>
      <c r="K46" s="335">
        <v>201301</v>
      </c>
      <c r="L46" s="326">
        <v>168943.66</v>
      </c>
      <c r="M46" s="485">
        <f>[1]MAY!M46-166350</f>
        <v>2512600</v>
      </c>
      <c r="N46" s="485">
        <f>[1]MAY!N46-166350</f>
        <v>2512600</v>
      </c>
      <c r="O46" s="469">
        <v>0</v>
      </c>
      <c r="P46" s="247">
        <f t="shared" si="4"/>
        <v>2681543.66</v>
      </c>
      <c r="Q46" s="246" t="s">
        <v>165</v>
      </c>
      <c r="R46" s="469">
        <f t="shared" si="5"/>
        <v>2512600</v>
      </c>
      <c r="S46" s="245">
        <f t="shared" si="6"/>
        <v>2512600</v>
      </c>
    </row>
    <row r="47" spans="1:19" ht="18">
      <c r="A47" s="246" t="s">
        <v>166</v>
      </c>
      <c r="B47" s="335">
        <v>201303</v>
      </c>
      <c r="C47" s="471">
        <v>0</v>
      </c>
      <c r="D47" s="485">
        <f>[1]MAY!D47</f>
        <v>0</v>
      </c>
      <c r="E47" s="485">
        <f>[1]MAY!E47</f>
        <v>0</v>
      </c>
      <c r="F47" s="330">
        <f t="shared" si="0"/>
        <v>0</v>
      </c>
      <c r="G47" s="244">
        <f t="shared" si="1"/>
        <v>0</v>
      </c>
      <c r="H47" s="328">
        <f t="shared" si="8"/>
        <v>0</v>
      </c>
      <c r="I47" s="327">
        <f t="shared" si="7"/>
        <v>0</v>
      </c>
      <c r="J47" s="246" t="s">
        <v>166</v>
      </c>
      <c r="K47" s="335">
        <v>201303</v>
      </c>
      <c r="L47" s="326">
        <v>30270.959999999999</v>
      </c>
      <c r="M47" s="485">
        <f>[1]MAY!M47</f>
        <v>3239035</v>
      </c>
      <c r="N47" s="485">
        <f>[1]MAY!N47-145691.7+145735.8-2008216.74+2012061.96</f>
        <v>3226032.76</v>
      </c>
      <c r="O47" s="469">
        <v>0</v>
      </c>
      <c r="P47" s="243">
        <f t="shared" si="4"/>
        <v>3256303.72</v>
      </c>
      <c r="Q47" s="242" t="s">
        <v>166</v>
      </c>
      <c r="R47" s="469">
        <f t="shared" si="5"/>
        <v>3239035</v>
      </c>
      <c r="S47" s="241">
        <f t="shared" si="6"/>
        <v>3226032.76</v>
      </c>
    </row>
    <row r="48" spans="1:19" ht="18">
      <c r="A48" s="242" t="s">
        <v>167</v>
      </c>
      <c r="B48" s="348">
        <v>201305</v>
      </c>
      <c r="C48" s="471">
        <v>0</v>
      </c>
      <c r="D48" s="485">
        <f>[1]MAY!D48</f>
        <v>0</v>
      </c>
      <c r="E48" s="485">
        <f>[1]MAY!E48</f>
        <v>0</v>
      </c>
      <c r="F48" s="330">
        <f t="shared" si="0"/>
        <v>0</v>
      </c>
      <c r="G48" s="240">
        <f t="shared" si="1"/>
        <v>0</v>
      </c>
      <c r="H48" s="328">
        <f t="shared" si="8"/>
        <v>0</v>
      </c>
      <c r="I48" s="327">
        <f t="shared" si="7"/>
        <v>0</v>
      </c>
      <c r="J48" s="242" t="s">
        <v>167</v>
      </c>
      <c r="K48" s="348">
        <v>201305</v>
      </c>
      <c r="L48" s="326">
        <v>11516.43</v>
      </c>
      <c r="M48" s="485">
        <f>[1]MAY!M48</f>
        <v>1022200</v>
      </c>
      <c r="N48" s="485">
        <f>[1]MAY!N48-447977.2+448112.8</f>
        <v>1018312.8</v>
      </c>
      <c r="O48" s="469">
        <v>0</v>
      </c>
      <c r="P48" s="243">
        <f t="shared" si="4"/>
        <v>1029829.23</v>
      </c>
      <c r="Q48" s="242" t="s">
        <v>167</v>
      </c>
      <c r="R48" s="469">
        <f t="shared" si="5"/>
        <v>1022200</v>
      </c>
      <c r="S48" s="241">
        <f t="shared" si="6"/>
        <v>1018312.8</v>
      </c>
    </row>
    <row r="49" spans="1:19" ht="18">
      <c r="A49" s="242" t="s">
        <v>168</v>
      </c>
      <c r="B49" s="348">
        <v>201306</v>
      </c>
      <c r="C49" s="471">
        <v>0</v>
      </c>
      <c r="D49" s="485">
        <f>[1]MAY!D49</f>
        <v>0</v>
      </c>
      <c r="E49" s="485">
        <f>[1]MAY!E49</f>
        <v>0</v>
      </c>
      <c r="F49" s="330">
        <f t="shared" si="0"/>
        <v>0</v>
      </c>
      <c r="G49" s="240">
        <f t="shared" si="1"/>
        <v>0</v>
      </c>
      <c r="H49" s="328">
        <f t="shared" si="8"/>
        <v>0</v>
      </c>
      <c r="I49" s="327">
        <f t="shared" si="7"/>
        <v>0</v>
      </c>
      <c r="J49" s="242" t="s">
        <v>168</v>
      </c>
      <c r="K49" s="348">
        <v>201306</v>
      </c>
      <c r="L49" s="326">
        <v>0</v>
      </c>
      <c r="M49" s="485">
        <f>[1]MAY!M49</f>
        <v>0</v>
      </c>
      <c r="N49" s="485">
        <f>[1]MAY!N49</f>
        <v>0</v>
      </c>
      <c r="O49" s="469">
        <v>0</v>
      </c>
      <c r="P49" s="243">
        <f t="shared" si="4"/>
        <v>0</v>
      </c>
      <c r="Q49" s="242" t="s">
        <v>168</v>
      </c>
      <c r="R49" s="469">
        <f t="shared" si="5"/>
        <v>0</v>
      </c>
      <c r="S49" s="241">
        <f t="shared" si="6"/>
        <v>0</v>
      </c>
    </row>
    <row r="50" spans="1:19" ht="18">
      <c r="A50" s="242" t="s">
        <v>169</v>
      </c>
      <c r="B50" s="348">
        <v>201307</v>
      </c>
      <c r="C50" s="471">
        <v>0</v>
      </c>
      <c r="D50" s="485">
        <f>[1]MAY!D50</f>
        <v>0</v>
      </c>
      <c r="E50" s="485">
        <f>[1]MAY!E50</f>
        <v>0</v>
      </c>
      <c r="F50" s="330">
        <f t="shared" si="0"/>
        <v>0</v>
      </c>
      <c r="G50" s="240">
        <f t="shared" si="1"/>
        <v>0</v>
      </c>
      <c r="H50" s="328">
        <f t="shared" si="8"/>
        <v>0</v>
      </c>
      <c r="I50" s="327">
        <f t="shared" si="7"/>
        <v>0</v>
      </c>
      <c r="J50" s="242" t="s">
        <v>169</v>
      </c>
      <c r="K50" s="348">
        <v>201307</v>
      </c>
      <c r="L50" s="326">
        <v>0</v>
      </c>
      <c r="M50" s="485">
        <f>[1]MAY!M50</f>
        <v>0</v>
      </c>
      <c r="N50" s="485">
        <f>[1]MAY!N50</f>
        <v>0</v>
      </c>
      <c r="O50" s="469">
        <v>0</v>
      </c>
      <c r="P50" s="243">
        <f t="shared" si="4"/>
        <v>0</v>
      </c>
      <c r="Q50" s="242" t="s">
        <v>169</v>
      </c>
      <c r="R50" s="469">
        <f t="shared" si="5"/>
        <v>0</v>
      </c>
      <c r="S50" s="241">
        <f t="shared" si="6"/>
        <v>0</v>
      </c>
    </row>
    <row r="51" spans="1:19" ht="18">
      <c r="A51" s="239" t="s">
        <v>170</v>
      </c>
      <c r="B51" s="238" t="s">
        <v>120</v>
      </c>
      <c r="C51" s="471">
        <v>0</v>
      </c>
      <c r="D51" s="485">
        <f>[1]MAY!D51</f>
        <v>0</v>
      </c>
      <c r="E51" s="485">
        <f>[1]MAY!E51</f>
        <v>0</v>
      </c>
      <c r="F51" s="330">
        <f t="shared" si="0"/>
        <v>0</v>
      </c>
      <c r="G51" s="240">
        <f t="shared" si="1"/>
        <v>0</v>
      </c>
      <c r="H51" s="328">
        <f t="shared" si="8"/>
        <v>0</v>
      </c>
      <c r="I51" s="327">
        <f t="shared" si="7"/>
        <v>0</v>
      </c>
      <c r="J51" s="239" t="s">
        <v>170</v>
      </c>
      <c r="K51" s="238" t="s">
        <v>120</v>
      </c>
      <c r="L51" s="326">
        <v>326180.69</v>
      </c>
      <c r="M51" s="485">
        <f>[1]MAY!M51</f>
        <v>23927550</v>
      </c>
      <c r="N51" s="485">
        <f>[1]MAY!N51-495550+495700-19732977.03+19770760.62</f>
        <v>23784810.620000001</v>
      </c>
      <c r="O51" s="469">
        <v>0</v>
      </c>
      <c r="P51" s="237">
        <f t="shared" si="4"/>
        <v>24110991.309999999</v>
      </c>
      <c r="Q51" s="236" t="s">
        <v>170</v>
      </c>
      <c r="R51" s="469">
        <f t="shared" si="5"/>
        <v>23927550</v>
      </c>
      <c r="S51" s="235">
        <f t="shared" si="6"/>
        <v>23784810.620000001</v>
      </c>
    </row>
    <row r="52" spans="1:19" ht="18">
      <c r="A52" s="234" t="s">
        <v>171</v>
      </c>
      <c r="B52" s="348">
        <v>201401</v>
      </c>
      <c r="C52" s="471">
        <v>0</v>
      </c>
      <c r="D52" s="485">
        <f>[1]MAY!D52</f>
        <v>0</v>
      </c>
      <c r="E52" s="485">
        <f>[1]MAY!E52</f>
        <v>0</v>
      </c>
      <c r="F52" s="330">
        <f t="shared" si="0"/>
        <v>0</v>
      </c>
      <c r="G52" s="233">
        <f t="shared" si="1"/>
        <v>0</v>
      </c>
      <c r="H52" s="328">
        <f t="shared" si="8"/>
        <v>0</v>
      </c>
      <c r="I52" s="327">
        <f t="shared" si="7"/>
        <v>0</v>
      </c>
      <c r="J52" s="234" t="s">
        <v>171</v>
      </c>
      <c r="K52" s="348">
        <v>201401</v>
      </c>
      <c r="L52" s="326">
        <v>0</v>
      </c>
      <c r="M52" s="485">
        <f>[1]MAY!M52</f>
        <v>0</v>
      </c>
      <c r="N52" s="485">
        <f>[1]MAY!N52</f>
        <v>0</v>
      </c>
      <c r="O52" s="469">
        <v>0</v>
      </c>
      <c r="P52" s="237">
        <f t="shared" si="4"/>
        <v>0</v>
      </c>
      <c r="Q52" s="234" t="s">
        <v>171</v>
      </c>
      <c r="R52" s="469">
        <f t="shared" si="5"/>
        <v>0</v>
      </c>
      <c r="S52" s="235">
        <f t="shared" si="6"/>
        <v>0</v>
      </c>
    </row>
    <row r="53" spans="1:19" ht="18">
      <c r="A53" s="234" t="s">
        <v>172</v>
      </c>
      <c r="B53" s="348">
        <v>201403</v>
      </c>
      <c r="C53" s="471">
        <v>0</v>
      </c>
      <c r="D53" s="485">
        <f>[1]MAY!D53</f>
        <v>0</v>
      </c>
      <c r="E53" s="485">
        <f>[1]MAY!E53</f>
        <v>0</v>
      </c>
      <c r="F53" s="330">
        <f t="shared" si="0"/>
        <v>0</v>
      </c>
      <c r="G53" s="233">
        <f t="shared" si="1"/>
        <v>0</v>
      </c>
      <c r="H53" s="328">
        <f t="shared" si="8"/>
        <v>0</v>
      </c>
      <c r="I53" s="327">
        <f t="shared" si="7"/>
        <v>0</v>
      </c>
      <c r="J53" s="234" t="s">
        <v>172</v>
      </c>
      <c r="K53" s="348">
        <v>201403</v>
      </c>
      <c r="L53" s="326">
        <v>0</v>
      </c>
      <c r="M53" s="485">
        <f>[1]MAY!M53</f>
        <v>0</v>
      </c>
      <c r="N53" s="485">
        <f>[1]MAY!N53</f>
        <v>0</v>
      </c>
      <c r="O53" s="469">
        <v>0</v>
      </c>
      <c r="P53" s="237">
        <f t="shared" si="4"/>
        <v>0</v>
      </c>
      <c r="Q53" s="234" t="s">
        <v>172</v>
      </c>
      <c r="R53" s="469">
        <f t="shared" si="5"/>
        <v>0</v>
      </c>
      <c r="S53" s="235">
        <f t="shared" si="6"/>
        <v>0</v>
      </c>
    </row>
    <row r="54" spans="1:19" ht="18">
      <c r="A54" s="234" t="s">
        <v>173</v>
      </c>
      <c r="B54" s="348">
        <v>201404</v>
      </c>
      <c r="C54" s="471">
        <v>0</v>
      </c>
      <c r="D54" s="485">
        <f>[1]MAY!D54</f>
        <v>0</v>
      </c>
      <c r="E54" s="485">
        <f>[1]MAY!E54</f>
        <v>0</v>
      </c>
      <c r="F54" s="330">
        <f t="shared" si="0"/>
        <v>0</v>
      </c>
      <c r="G54" s="233">
        <f t="shared" si="1"/>
        <v>0</v>
      </c>
      <c r="H54" s="328">
        <f t="shared" si="8"/>
        <v>0</v>
      </c>
      <c r="I54" s="327">
        <f t="shared" si="7"/>
        <v>0</v>
      </c>
      <c r="J54" s="234" t="s">
        <v>173</v>
      </c>
      <c r="K54" s="348">
        <v>201404</v>
      </c>
      <c r="L54" s="326">
        <v>0</v>
      </c>
      <c r="M54" s="485">
        <f>[1]MAY!M54</f>
        <v>0</v>
      </c>
      <c r="N54" s="485">
        <f>[1]MAY!N54</f>
        <v>0</v>
      </c>
      <c r="O54" s="469">
        <v>0</v>
      </c>
      <c r="P54" s="237">
        <f t="shared" si="4"/>
        <v>0</v>
      </c>
      <c r="Q54" s="234" t="s">
        <v>173</v>
      </c>
      <c r="R54" s="469">
        <f t="shared" si="5"/>
        <v>0</v>
      </c>
      <c r="S54" s="235">
        <f t="shared" si="6"/>
        <v>0</v>
      </c>
    </row>
    <row r="55" spans="1:19" ht="18">
      <c r="A55" s="234" t="s">
        <v>174</v>
      </c>
      <c r="B55" s="348">
        <v>201405</v>
      </c>
      <c r="C55" s="471">
        <v>0</v>
      </c>
      <c r="D55" s="485">
        <f>[1]MAY!D55</f>
        <v>0</v>
      </c>
      <c r="E55" s="485">
        <f>[1]MAY!E55</f>
        <v>0</v>
      </c>
      <c r="F55" s="330">
        <f t="shared" si="0"/>
        <v>0</v>
      </c>
      <c r="G55" s="233">
        <f t="shared" si="1"/>
        <v>0</v>
      </c>
      <c r="H55" s="328">
        <f t="shared" si="8"/>
        <v>0</v>
      </c>
      <c r="I55" s="327">
        <f t="shared" si="7"/>
        <v>0</v>
      </c>
      <c r="J55" s="234" t="s">
        <v>174</v>
      </c>
      <c r="K55" s="348">
        <v>201405</v>
      </c>
      <c r="L55" s="326">
        <v>0</v>
      </c>
      <c r="M55" s="485">
        <f>[1]MAY!M55</f>
        <v>0</v>
      </c>
      <c r="N55" s="485">
        <f>[1]MAY!N55</f>
        <v>0</v>
      </c>
      <c r="O55" s="469">
        <v>0</v>
      </c>
      <c r="P55" s="237">
        <f t="shared" si="4"/>
        <v>0</v>
      </c>
      <c r="Q55" s="234" t="s">
        <v>174</v>
      </c>
      <c r="R55" s="469">
        <f t="shared" si="5"/>
        <v>0</v>
      </c>
      <c r="S55" s="235">
        <f t="shared" si="6"/>
        <v>0</v>
      </c>
    </row>
    <row r="56" spans="1:19" ht="18">
      <c r="A56" s="234" t="s">
        <v>175</v>
      </c>
      <c r="B56" s="348">
        <v>201406</v>
      </c>
      <c r="C56" s="471">
        <v>0</v>
      </c>
      <c r="D56" s="485">
        <f>[1]MAY!D56</f>
        <v>0</v>
      </c>
      <c r="E56" s="485">
        <f>[1]MAY!E56</f>
        <v>0</v>
      </c>
      <c r="F56" s="330">
        <f t="shared" si="0"/>
        <v>0</v>
      </c>
      <c r="G56" s="233">
        <f t="shared" si="1"/>
        <v>0</v>
      </c>
      <c r="H56" s="328">
        <f t="shared" si="8"/>
        <v>0</v>
      </c>
      <c r="I56" s="327">
        <f t="shared" si="7"/>
        <v>0</v>
      </c>
      <c r="J56" s="234" t="s">
        <v>175</v>
      </c>
      <c r="K56" s="348">
        <v>201406</v>
      </c>
      <c r="L56" s="326">
        <v>0</v>
      </c>
      <c r="M56" s="485">
        <f>[1]MAY!M56</f>
        <v>0</v>
      </c>
      <c r="N56" s="485">
        <f>[1]MAY!N56</f>
        <v>0</v>
      </c>
      <c r="O56" s="469">
        <v>0</v>
      </c>
      <c r="P56" s="237">
        <f t="shared" si="4"/>
        <v>0</v>
      </c>
      <c r="Q56" s="234" t="s">
        <v>175</v>
      </c>
      <c r="R56" s="469">
        <f t="shared" si="5"/>
        <v>0</v>
      </c>
      <c r="S56" s="235">
        <f t="shared" si="6"/>
        <v>0</v>
      </c>
    </row>
    <row r="57" spans="1:19" ht="18">
      <c r="A57" s="234" t="s">
        <v>176</v>
      </c>
      <c r="B57" s="348">
        <v>201407</v>
      </c>
      <c r="C57" s="471">
        <v>0</v>
      </c>
      <c r="D57" s="485">
        <f>[1]MAY!D57</f>
        <v>0</v>
      </c>
      <c r="E57" s="485">
        <f>[1]MAY!E57</f>
        <v>0</v>
      </c>
      <c r="F57" s="330">
        <f t="shared" si="0"/>
        <v>0</v>
      </c>
      <c r="G57" s="233">
        <f t="shared" si="1"/>
        <v>0</v>
      </c>
      <c r="H57" s="328">
        <f t="shared" si="8"/>
        <v>0</v>
      </c>
      <c r="I57" s="327">
        <f t="shared" si="7"/>
        <v>0</v>
      </c>
      <c r="J57" s="234" t="s">
        <v>176</v>
      </c>
      <c r="K57" s="348">
        <v>201407</v>
      </c>
      <c r="L57" s="326">
        <v>0</v>
      </c>
      <c r="M57" s="485">
        <f>[1]MAY!M57</f>
        <v>0</v>
      </c>
      <c r="N57" s="485">
        <f>[1]MAY!N57</f>
        <v>0</v>
      </c>
      <c r="O57" s="469">
        <v>0</v>
      </c>
      <c r="P57" s="237">
        <f t="shared" si="4"/>
        <v>0</v>
      </c>
      <c r="Q57" s="234" t="s">
        <v>176</v>
      </c>
      <c r="R57" s="469">
        <f t="shared" si="5"/>
        <v>0</v>
      </c>
      <c r="S57" s="235">
        <f t="shared" si="6"/>
        <v>0</v>
      </c>
    </row>
    <row r="58" spans="1:19" ht="18">
      <c r="A58" s="234" t="s">
        <v>177</v>
      </c>
      <c r="B58" s="348">
        <v>201501</v>
      </c>
      <c r="C58" s="471">
        <v>0</v>
      </c>
      <c r="D58" s="485">
        <f>[1]MAY!D58</f>
        <v>0</v>
      </c>
      <c r="E58" s="485">
        <f>[1]MAY!E58</f>
        <v>0</v>
      </c>
      <c r="F58" s="330">
        <f t="shared" si="0"/>
        <v>0</v>
      </c>
      <c r="G58" s="233">
        <f t="shared" si="1"/>
        <v>0</v>
      </c>
      <c r="H58" s="328">
        <f t="shared" si="8"/>
        <v>0</v>
      </c>
      <c r="I58" s="327">
        <f t="shared" si="7"/>
        <v>0</v>
      </c>
      <c r="J58" s="234" t="s">
        <v>177</v>
      </c>
      <c r="K58" s="348">
        <v>201501</v>
      </c>
      <c r="L58" s="326">
        <v>0</v>
      </c>
      <c r="M58" s="485">
        <f>[1]MAY!M58</f>
        <v>0</v>
      </c>
      <c r="N58" s="485">
        <f>[1]MAY!N58</f>
        <v>0</v>
      </c>
      <c r="O58" s="469">
        <v>0</v>
      </c>
      <c r="P58" s="237">
        <f t="shared" si="4"/>
        <v>0</v>
      </c>
      <c r="Q58" s="234" t="s">
        <v>177</v>
      </c>
      <c r="R58" s="469">
        <f t="shared" si="5"/>
        <v>0</v>
      </c>
      <c r="S58" s="235">
        <f t="shared" si="6"/>
        <v>0</v>
      </c>
    </row>
    <row r="59" spans="1:19" ht="18">
      <c r="A59" s="234" t="s">
        <v>178</v>
      </c>
      <c r="B59" s="348">
        <v>201502</v>
      </c>
      <c r="C59" s="471">
        <v>0</v>
      </c>
      <c r="D59" s="485">
        <f>[1]MAY!D59</f>
        <v>0</v>
      </c>
      <c r="E59" s="485">
        <f>[1]MAY!E59</f>
        <v>0</v>
      </c>
      <c r="F59" s="330">
        <f t="shared" si="0"/>
        <v>0</v>
      </c>
      <c r="G59" s="233">
        <f t="shared" si="1"/>
        <v>0</v>
      </c>
      <c r="H59" s="328">
        <f t="shared" si="8"/>
        <v>0</v>
      </c>
      <c r="I59" s="327">
        <f t="shared" si="7"/>
        <v>0</v>
      </c>
      <c r="J59" s="234" t="s">
        <v>178</v>
      </c>
      <c r="K59" s="348">
        <v>201502</v>
      </c>
      <c r="L59" s="326">
        <v>0</v>
      </c>
      <c r="M59" s="485">
        <f>[1]MAY!M59</f>
        <v>0</v>
      </c>
      <c r="N59" s="485">
        <f>[1]MAY!N59</f>
        <v>0</v>
      </c>
      <c r="O59" s="469">
        <v>0</v>
      </c>
      <c r="P59" s="237">
        <f t="shared" si="4"/>
        <v>0</v>
      </c>
      <c r="Q59" s="234" t="s">
        <v>178</v>
      </c>
      <c r="R59" s="469">
        <f t="shared" si="5"/>
        <v>0</v>
      </c>
      <c r="S59" s="235">
        <f t="shared" si="6"/>
        <v>0</v>
      </c>
    </row>
    <row r="60" spans="1:19" ht="18">
      <c r="A60" s="234" t="s">
        <v>179</v>
      </c>
      <c r="B60" s="348">
        <v>201503</v>
      </c>
      <c r="C60" s="471">
        <v>0</v>
      </c>
      <c r="D60" s="485">
        <f>[1]MAY!D60</f>
        <v>0</v>
      </c>
      <c r="E60" s="485">
        <f>[1]MAY!E60</f>
        <v>0</v>
      </c>
      <c r="F60" s="330">
        <f t="shared" si="0"/>
        <v>0</v>
      </c>
      <c r="G60" s="233">
        <f t="shared" si="1"/>
        <v>0</v>
      </c>
      <c r="H60" s="328">
        <f t="shared" si="8"/>
        <v>0</v>
      </c>
      <c r="I60" s="327">
        <f t="shared" si="7"/>
        <v>0</v>
      </c>
      <c r="J60" s="234" t="s">
        <v>179</v>
      </c>
      <c r="K60" s="348">
        <v>201503</v>
      </c>
      <c r="L60" s="326">
        <v>0</v>
      </c>
      <c r="M60" s="485">
        <f>[1]MAY!M60</f>
        <v>0</v>
      </c>
      <c r="N60" s="485">
        <f>[1]MAY!N60</f>
        <v>0</v>
      </c>
      <c r="O60" s="469">
        <v>0</v>
      </c>
      <c r="P60" s="237">
        <f t="shared" si="4"/>
        <v>0</v>
      </c>
      <c r="Q60" s="234" t="s">
        <v>179</v>
      </c>
      <c r="R60" s="469">
        <f t="shared" si="5"/>
        <v>0</v>
      </c>
      <c r="S60" s="235">
        <f t="shared" si="6"/>
        <v>0</v>
      </c>
    </row>
    <row r="61" spans="1:19" ht="18">
      <c r="A61" s="234" t="s">
        <v>180</v>
      </c>
      <c r="B61" s="348">
        <v>201505</v>
      </c>
      <c r="C61" s="471">
        <v>0</v>
      </c>
      <c r="D61" s="485">
        <f>[1]MAY!D61</f>
        <v>0</v>
      </c>
      <c r="E61" s="485">
        <f>[1]MAY!E61</f>
        <v>0</v>
      </c>
      <c r="F61" s="330">
        <f t="shared" si="0"/>
        <v>0</v>
      </c>
      <c r="G61" s="233">
        <f t="shared" si="1"/>
        <v>0</v>
      </c>
      <c r="H61" s="328">
        <f t="shared" si="8"/>
        <v>0</v>
      </c>
      <c r="I61" s="327">
        <f t="shared" si="7"/>
        <v>0</v>
      </c>
      <c r="J61" s="234" t="s">
        <v>180</v>
      </c>
      <c r="K61" s="348">
        <v>201505</v>
      </c>
      <c r="L61" s="326">
        <v>0</v>
      </c>
      <c r="M61" s="485">
        <f>[1]MAY!M61</f>
        <v>0</v>
      </c>
      <c r="N61" s="485">
        <f>[1]MAY!N61</f>
        <v>0</v>
      </c>
      <c r="O61" s="469">
        <v>0</v>
      </c>
      <c r="P61" s="237">
        <f t="shared" si="4"/>
        <v>0</v>
      </c>
      <c r="Q61" s="234" t="s">
        <v>180</v>
      </c>
      <c r="R61" s="469">
        <f t="shared" si="5"/>
        <v>0</v>
      </c>
      <c r="S61" s="235">
        <f t="shared" si="6"/>
        <v>0</v>
      </c>
    </row>
    <row r="62" spans="1:19" ht="18">
      <c r="A62" s="232" t="s">
        <v>181</v>
      </c>
      <c r="B62" s="348">
        <v>201506</v>
      </c>
      <c r="C62" s="471">
        <v>0</v>
      </c>
      <c r="D62" s="485">
        <f>[1]MAY!D62</f>
        <v>0</v>
      </c>
      <c r="E62" s="485">
        <f>[1]MAY!E62</f>
        <v>0</v>
      </c>
      <c r="F62" s="330">
        <f t="shared" si="0"/>
        <v>0</v>
      </c>
      <c r="G62" s="233">
        <f t="shared" si="1"/>
        <v>0</v>
      </c>
      <c r="H62" s="328">
        <f t="shared" si="8"/>
        <v>0</v>
      </c>
      <c r="I62" s="327">
        <f t="shared" si="7"/>
        <v>0</v>
      </c>
      <c r="J62" s="232" t="s">
        <v>181</v>
      </c>
      <c r="K62" s="348">
        <v>201506</v>
      </c>
      <c r="L62" s="326">
        <v>0</v>
      </c>
      <c r="M62" s="485">
        <f>[1]MAY!M62</f>
        <v>0</v>
      </c>
      <c r="N62" s="485">
        <f>[1]MAY!N62</f>
        <v>0</v>
      </c>
      <c r="O62" s="469">
        <v>0</v>
      </c>
      <c r="P62" s="237">
        <f t="shared" si="4"/>
        <v>0</v>
      </c>
      <c r="Q62" s="232" t="s">
        <v>181</v>
      </c>
      <c r="R62" s="469">
        <f t="shared" si="5"/>
        <v>0</v>
      </c>
      <c r="S62" s="235">
        <f t="shared" si="6"/>
        <v>0</v>
      </c>
    </row>
    <row r="63" spans="1:19" ht="18">
      <c r="A63" s="232" t="s">
        <v>182</v>
      </c>
      <c r="B63" s="348">
        <v>201507</v>
      </c>
      <c r="C63" s="471">
        <v>0</v>
      </c>
      <c r="D63" s="485">
        <f>[1]MAY!D63</f>
        <v>0</v>
      </c>
      <c r="E63" s="485">
        <f>[1]MAY!E63</f>
        <v>0</v>
      </c>
      <c r="F63" s="330">
        <f t="shared" si="0"/>
        <v>0</v>
      </c>
      <c r="G63" s="233">
        <f t="shared" si="1"/>
        <v>0</v>
      </c>
      <c r="H63" s="328">
        <f t="shared" si="8"/>
        <v>0</v>
      </c>
      <c r="I63" s="327">
        <f t="shared" si="7"/>
        <v>0</v>
      </c>
      <c r="J63" s="232" t="s">
        <v>182</v>
      </c>
      <c r="K63" s="348">
        <v>201507</v>
      </c>
      <c r="L63" s="326">
        <v>0</v>
      </c>
      <c r="M63" s="485">
        <f>[1]MAY!M63</f>
        <v>0</v>
      </c>
      <c r="N63" s="485">
        <f>[1]MAY!N63</f>
        <v>0</v>
      </c>
      <c r="O63" s="469">
        <v>0</v>
      </c>
      <c r="P63" s="237">
        <f t="shared" si="4"/>
        <v>0</v>
      </c>
      <c r="Q63" s="232" t="s">
        <v>182</v>
      </c>
      <c r="R63" s="469">
        <f t="shared" si="5"/>
        <v>0</v>
      </c>
      <c r="S63" s="235">
        <f t="shared" si="6"/>
        <v>0</v>
      </c>
    </row>
    <row r="64" spans="1:19" ht="18">
      <c r="A64" s="232" t="s">
        <v>183</v>
      </c>
      <c r="B64" s="348">
        <v>201508</v>
      </c>
      <c r="C64" s="471">
        <v>0</v>
      </c>
      <c r="D64" s="485">
        <f>[1]MAY!D64</f>
        <v>0</v>
      </c>
      <c r="E64" s="485">
        <f>[1]MAY!E64</f>
        <v>0</v>
      </c>
      <c r="F64" s="330">
        <f t="shared" si="0"/>
        <v>0</v>
      </c>
      <c r="G64" s="233">
        <f t="shared" si="1"/>
        <v>0</v>
      </c>
      <c r="H64" s="328">
        <f t="shared" si="8"/>
        <v>0</v>
      </c>
      <c r="I64" s="327">
        <f t="shared" si="7"/>
        <v>0</v>
      </c>
      <c r="J64" s="232" t="s">
        <v>183</v>
      </c>
      <c r="K64" s="348">
        <v>201508</v>
      </c>
      <c r="L64" s="326">
        <v>0</v>
      </c>
      <c r="M64" s="485">
        <f>[1]MAY!M64</f>
        <v>0</v>
      </c>
      <c r="N64" s="485">
        <f>[1]MAY!N64</f>
        <v>0</v>
      </c>
      <c r="O64" s="469">
        <v>0</v>
      </c>
      <c r="P64" s="237">
        <f t="shared" si="4"/>
        <v>0</v>
      </c>
      <c r="Q64" s="232" t="s">
        <v>183</v>
      </c>
      <c r="R64" s="469">
        <f t="shared" si="5"/>
        <v>0</v>
      </c>
      <c r="S64" s="235">
        <f t="shared" si="6"/>
        <v>0</v>
      </c>
    </row>
    <row r="65" spans="1:19" ht="18">
      <c r="A65" s="232" t="s">
        <v>184</v>
      </c>
      <c r="B65" s="348">
        <v>201509</v>
      </c>
      <c r="C65" s="471">
        <v>0</v>
      </c>
      <c r="D65" s="485">
        <f>[1]MAY!D65</f>
        <v>0</v>
      </c>
      <c r="E65" s="485">
        <f>[1]MAY!E65</f>
        <v>0</v>
      </c>
      <c r="F65" s="330">
        <f t="shared" si="0"/>
        <v>0</v>
      </c>
      <c r="G65" s="233">
        <f t="shared" si="1"/>
        <v>0</v>
      </c>
      <c r="H65" s="328">
        <f t="shared" si="8"/>
        <v>0</v>
      </c>
      <c r="I65" s="327">
        <f t="shared" si="7"/>
        <v>0</v>
      </c>
      <c r="J65" s="232" t="s">
        <v>184</v>
      </c>
      <c r="K65" s="348">
        <v>201509</v>
      </c>
      <c r="L65" s="326">
        <v>0</v>
      </c>
      <c r="M65" s="485">
        <f>[1]MAY!M65</f>
        <v>0</v>
      </c>
      <c r="N65" s="485">
        <f>[1]MAY!N65</f>
        <v>0</v>
      </c>
      <c r="O65" s="469">
        <v>0</v>
      </c>
      <c r="P65" s="237">
        <f t="shared" si="4"/>
        <v>0</v>
      </c>
      <c r="Q65" s="232" t="s">
        <v>184</v>
      </c>
      <c r="R65" s="469">
        <f t="shared" si="5"/>
        <v>0</v>
      </c>
      <c r="S65" s="235">
        <f t="shared" si="6"/>
        <v>0</v>
      </c>
    </row>
    <row r="66" spans="1:19" ht="18">
      <c r="A66" s="232" t="s">
        <v>185</v>
      </c>
      <c r="B66" s="348">
        <v>201601</v>
      </c>
      <c r="C66" s="471">
        <v>0</v>
      </c>
      <c r="D66" s="485">
        <f>[1]MAY!D66</f>
        <v>0</v>
      </c>
      <c r="E66" s="485">
        <f>[1]MAY!E66</f>
        <v>0</v>
      </c>
      <c r="F66" s="330">
        <f t="shared" si="0"/>
        <v>0</v>
      </c>
      <c r="G66" s="233">
        <f t="shared" si="1"/>
        <v>0</v>
      </c>
      <c r="H66" s="328">
        <f t="shared" si="8"/>
        <v>0</v>
      </c>
      <c r="I66" s="327">
        <f t="shared" si="7"/>
        <v>0</v>
      </c>
      <c r="J66" s="232" t="s">
        <v>185</v>
      </c>
      <c r="K66" s="348">
        <v>201601</v>
      </c>
      <c r="L66" s="326">
        <v>0</v>
      </c>
      <c r="M66" s="485">
        <f>[1]MAY!M66</f>
        <v>0</v>
      </c>
      <c r="N66" s="485">
        <f>[1]MAY!N66</f>
        <v>0</v>
      </c>
      <c r="O66" s="469">
        <v>0</v>
      </c>
      <c r="P66" s="237">
        <f t="shared" si="4"/>
        <v>0</v>
      </c>
      <c r="Q66" s="232" t="s">
        <v>185</v>
      </c>
      <c r="R66" s="469">
        <f t="shared" si="5"/>
        <v>0</v>
      </c>
      <c r="S66" s="235">
        <f t="shared" si="6"/>
        <v>0</v>
      </c>
    </row>
    <row r="67" spans="1:19" ht="18">
      <c r="A67" s="232" t="s">
        <v>186</v>
      </c>
      <c r="B67" s="348">
        <v>201602</v>
      </c>
      <c r="C67" s="471">
        <v>0</v>
      </c>
      <c r="D67" s="485">
        <f>[1]MAY!D67</f>
        <v>0</v>
      </c>
      <c r="E67" s="485">
        <f>[1]MAY!E67</f>
        <v>0</v>
      </c>
      <c r="F67" s="330">
        <f t="shared" si="0"/>
        <v>0</v>
      </c>
      <c r="G67" s="233">
        <f t="shared" si="1"/>
        <v>0</v>
      </c>
      <c r="H67" s="328">
        <f t="shared" si="8"/>
        <v>0</v>
      </c>
      <c r="I67" s="327">
        <f t="shared" si="7"/>
        <v>0</v>
      </c>
      <c r="J67" s="232" t="s">
        <v>186</v>
      </c>
      <c r="K67" s="348">
        <v>201602</v>
      </c>
      <c r="L67" s="326">
        <v>0</v>
      </c>
      <c r="M67" s="485">
        <f>[1]MAY!M67</f>
        <v>0</v>
      </c>
      <c r="N67" s="485">
        <f>[1]MAY!N67</f>
        <v>0</v>
      </c>
      <c r="O67" s="469">
        <v>0</v>
      </c>
      <c r="P67" s="237">
        <f t="shared" si="4"/>
        <v>0</v>
      </c>
      <c r="Q67" s="232" t="s">
        <v>186</v>
      </c>
      <c r="R67" s="469">
        <f t="shared" si="5"/>
        <v>0</v>
      </c>
      <c r="S67" s="235">
        <f t="shared" si="6"/>
        <v>0</v>
      </c>
    </row>
    <row r="68" spans="1:19" ht="18">
      <c r="A68" s="232" t="s">
        <v>187</v>
      </c>
      <c r="B68" s="348">
        <v>201603</v>
      </c>
      <c r="C68" s="471">
        <v>0</v>
      </c>
      <c r="D68" s="485">
        <f>[1]MAY!D68</f>
        <v>0</v>
      </c>
      <c r="E68" s="485">
        <f>[1]MAY!E68</f>
        <v>0</v>
      </c>
      <c r="F68" s="330">
        <f t="shared" si="0"/>
        <v>0</v>
      </c>
      <c r="G68" s="233">
        <f t="shared" si="1"/>
        <v>0</v>
      </c>
      <c r="H68" s="328">
        <f t="shared" si="8"/>
        <v>0</v>
      </c>
      <c r="I68" s="327">
        <f t="shared" si="7"/>
        <v>0</v>
      </c>
      <c r="J68" s="232" t="s">
        <v>187</v>
      </c>
      <c r="K68" s="348">
        <v>201603</v>
      </c>
      <c r="L68" s="326">
        <v>0</v>
      </c>
      <c r="M68" s="485">
        <f>[1]MAY!M68</f>
        <v>0</v>
      </c>
      <c r="N68" s="485">
        <f>[1]MAY!N68</f>
        <v>0</v>
      </c>
      <c r="O68" s="469">
        <v>0</v>
      </c>
      <c r="P68" s="237">
        <f t="shared" si="4"/>
        <v>0</v>
      </c>
      <c r="Q68" s="232" t="s">
        <v>187</v>
      </c>
      <c r="R68" s="469">
        <f t="shared" si="5"/>
        <v>0</v>
      </c>
      <c r="S68" s="235">
        <f t="shared" si="6"/>
        <v>0</v>
      </c>
    </row>
    <row r="69" spans="1:19" ht="18">
      <c r="A69" s="232" t="s">
        <v>188</v>
      </c>
      <c r="B69" s="348">
        <v>201604</v>
      </c>
      <c r="C69" s="471">
        <v>0</v>
      </c>
      <c r="D69" s="485">
        <f>[1]MAY!D69</f>
        <v>0</v>
      </c>
      <c r="E69" s="485">
        <f>[1]MAY!E69</f>
        <v>0</v>
      </c>
      <c r="F69" s="330">
        <f t="shared" ref="F69:F81" si="9">C69*2</f>
        <v>0</v>
      </c>
      <c r="G69" s="233">
        <f t="shared" ref="G69:G81" si="10">C69+E69</f>
        <v>0</v>
      </c>
      <c r="H69" s="328">
        <f t="shared" si="8"/>
        <v>0</v>
      </c>
      <c r="I69" s="327">
        <f t="shared" si="7"/>
        <v>0</v>
      </c>
      <c r="J69" s="232" t="s">
        <v>188</v>
      </c>
      <c r="K69" s="348">
        <v>201604</v>
      </c>
      <c r="L69" s="326">
        <v>0</v>
      </c>
      <c r="M69" s="485">
        <f>[1]MAY!M69</f>
        <v>0</v>
      </c>
      <c r="N69" s="485">
        <f>[1]MAY!N69</f>
        <v>0</v>
      </c>
      <c r="O69" s="469">
        <v>0</v>
      </c>
      <c r="P69" s="237">
        <f t="shared" ref="P69:P81" si="11">L69+N69</f>
        <v>0</v>
      </c>
      <c r="Q69" s="232" t="s">
        <v>188</v>
      </c>
      <c r="R69" s="469">
        <f t="shared" ref="R69:R81" si="12">D69*2+M69</f>
        <v>0</v>
      </c>
      <c r="S69" s="235">
        <f t="shared" ref="S69:S81" si="13">(E69*2)+N69</f>
        <v>0</v>
      </c>
    </row>
    <row r="70" spans="1:19" ht="18">
      <c r="A70" s="232" t="s">
        <v>189</v>
      </c>
      <c r="B70" s="348">
        <v>201606</v>
      </c>
      <c r="C70" s="471">
        <v>0</v>
      </c>
      <c r="D70" s="485">
        <f>[1]MAY!D70</f>
        <v>0</v>
      </c>
      <c r="E70" s="485">
        <f>[1]MAY!E70</f>
        <v>0</v>
      </c>
      <c r="F70" s="330">
        <f t="shared" si="9"/>
        <v>0</v>
      </c>
      <c r="G70" s="233">
        <f t="shared" si="10"/>
        <v>0</v>
      </c>
      <c r="H70" s="328">
        <f t="shared" si="8"/>
        <v>0</v>
      </c>
      <c r="I70" s="327">
        <f t="shared" si="7"/>
        <v>0</v>
      </c>
      <c r="J70" s="232" t="s">
        <v>189</v>
      </c>
      <c r="K70" s="348">
        <v>201606</v>
      </c>
      <c r="L70" s="326">
        <v>0</v>
      </c>
      <c r="M70" s="485">
        <f>[1]MAY!M70</f>
        <v>0</v>
      </c>
      <c r="N70" s="485">
        <f>[1]MAY!N70</f>
        <v>0</v>
      </c>
      <c r="O70" s="469">
        <v>0</v>
      </c>
      <c r="P70" s="237">
        <f t="shared" si="11"/>
        <v>0</v>
      </c>
      <c r="Q70" s="232" t="s">
        <v>189</v>
      </c>
      <c r="R70" s="469">
        <f t="shared" si="12"/>
        <v>0</v>
      </c>
      <c r="S70" s="235">
        <f t="shared" si="13"/>
        <v>0</v>
      </c>
    </row>
    <row r="71" spans="1:19" ht="18">
      <c r="A71" s="232" t="s">
        <v>190</v>
      </c>
      <c r="B71" s="348">
        <v>201607</v>
      </c>
      <c r="C71" s="471">
        <v>0</v>
      </c>
      <c r="D71" s="485">
        <f>[1]MAY!D71</f>
        <v>0</v>
      </c>
      <c r="E71" s="485">
        <f>[1]MAY!E71</f>
        <v>0</v>
      </c>
      <c r="F71" s="330">
        <f t="shared" si="9"/>
        <v>0</v>
      </c>
      <c r="G71" s="233">
        <f t="shared" si="10"/>
        <v>0</v>
      </c>
      <c r="H71" s="328">
        <f t="shared" si="8"/>
        <v>0</v>
      </c>
      <c r="I71" s="327">
        <f t="shared" si="7"/>
        <v>0</v>
      </c>
      <c r="J71" s="232" t="s">
        <v>190</v>
      </c>
      <c r="K71" s="348">
        <v>201607</v>
      </c>
      <c r="L71" s="326">
        <v>0</v>
      </c>
      <c r="M71" s="485">
        <f>[1]MAY!M71</f>
        <v>0</v>
      </c>
      <c r="N71" s="485">
        <f>[1]MAY!N71</f>
        <v>0</v>
      </c>
      <c r="O71" s="469">
        <v>0</v>
      </c>
      <c r="P71" s="237">
        <f t="shared" si="11"/>
        <v>0</v>
      </c>
      <c r="Q71" s="232" t="s">
        <v>190</v>
      </c>
      <c r="R71" s="469">
        <f t="shared" si="12"/>
        <v>0</v>
      </c>
      <c r="S71" s="235">
        <f t="shared" si="13"/>
        <v>0</v>
      </c>
    </row>
    <row r="72" spans="1:19" ht="18">
      <c r="A72" s="232" t="s">
        <v>191</v>
      </c>
      <c r="B72" s="348">
        <v>201608</v>
      </c>
      <c r="C72" s="471">
        <v>0</v>
      </c>
      <c r="D72" s="485">
        <f>[1]MAY!D72</f>
        <v>0</v>
      </c>
      <c r="E72" s="485">
        <f>[1]MAY!E72</f>
        <v>0</v>
      </c>
      <c r="F72" s="330">
        <f t="shared" si="9"/>
        <v>0</v>
      </c>
      <c r="G72" s="233">
        <f t="shared" si="10"/>
        <v>0</v>
      </c>
      <c r="H72" s="328">
        <f t="shared" si="8"/>
        <v>0</v>
      </c>
      <c r="I72" s="327">
        <f t="shared" si="7"/>
        <v>0</v>
      </c>
      <c r="J72" s="232" t="s">
        <v>191</v>
      </c>
      <c r="K72" s="348">
        <v>201608</v>
      </c>
      <c r="L72" s="326">
        <v>0</v>
      </c>
      <c r="M72" s="485">
        <f>[1]MAY!M72</f>
        <v>0</v>
      </c>
      <c r="N72" s="485">
        <f>[1]MAY!N72</f>
        <v>0</v>
      </c>
      <c r="O72" s="469">
        <v>0</v>
      </c>
      <c r="P72" s="237">
        <f t="shared" si="11"/>
        <v>0</v>
      </c>
      <c r="Q72" s="232" t="s">
        <v>191</v>
      </c>
      <c r="R72" s="469">
        <f t="shared" si="12"/>
        <v>0</v>
      </c>
      <c r="S72" s="235">
        <f t="shared" si="13"/>
        <v>0</v>
      </c>
    </row>
    <row r="73" spans="1:19" ht="18">
      <c r="A73" s="232" t="s">
        <v>192</v>
      </c>
      <c r="B73" s="348">
        <v>201609</v>
      </c>
      <c r="C73" s="471">
        <v>0</v>
      </c>
      <c r="D73" s="485">
        <f>[1]MAY!D73</f>
        <v>0</v>
      </c>
      <c r="E73" s="485">
        <f>[1]MAY!E73</f>
        <v>0</v>
      </c>
      <c r="F73" s="330">
        <f t="shared" si="9"/>
        <v>0</v>
      </c>
      <c r="G73" s="233">
        <f t="shared" si="10"/>
        <v>0</v>
      </c>
      <c r="H73" s="328">
        <f t="shared" si="8"/>
        <v>0</v>
      </c>
      <c r="I73" s="327">
        <f t="shared" si="7"/>
        <v>0</v>
      </c>
      <c r="J73" s="232" t="s">
        <v>192</v>
      </c>
      <c r="K73" s="348">
        <v>201609</v>
      </c>
      <c r="L73" s="326">
        <v>0</v>
      </c>
      <c r="M73" s="485">
        <f>[1]MAY!M73</f>
        <v>0</v>
      </c>
      <c r="N73" s="485">
        <f>[1]MAY!N73</f>
        <v>0</v>
      </c>
      <c r="O73" s="469">
        <v>0</v>
      </c>
      <c r="P73" s="237">
        <f t="shared" si="11"/>
        <v>0</v>
      </c>
      <c r="Q73" s="232" t="s">
        <v>192</v>
      </c>
      <c r="R73" s="469">
        <f t="shared" si="12"/>
        <v>0</v>
      </c>
      <c r="S73" s="235">
        <f t="shared" si="13"/>
        <v>0</v>
      </c>
    </row>
    <row r="74" spans="1:19" ht="18">
      <c r="A74" s="232" t="s">
        <v>193</v>
      </c>
      <c r="B74" s="348">
        <v>201610</v>
      </c>
      <c r="C74" s="471">
        <v>0</v>
      </c>
      <c r="D74" s="485">
        <f>[1]MAY!D74</f>
        <v>0</v>
      </c>
      <c r="E74" s="485">
        <f>[1]MAY!E74</f>
        <v>0</v>
      </c>
      <c r="F74" s="330">
        <f t="shared" si="9"/>
        <v>0</v>
      </c>
      <c r="G74" s="233">
        <f t="shared" si="10"/>
        <v>0</v>
      </c>
      <c r="H74" s="328">
        <f t="shared" si="8"/>
        <v>0</v>
      </c>
      <c r="I74" s="327">
        <f t="shared" si="7"/>
        <v>0</v>
      </c>
      <c r="J74" s="232" t="s">
        <v>193</v>
      </c>
      <c r="K74" s="348">
        <v>201610</v>
      </c>
      <c r="L74" s="326">
        <v>0</v>
      </c>
      <c r="M74" s="485">
        <f>[1]MAY!M74</f>
        <v>0</v>
      </c>
      <c r="N74" s="485">
        <f>[1]MAY!N74</f>
        <v>0</v>
      </c>
      <c r="O74" s="469">
        <v>0</v>
      </c>
      <c r="P74" s="237">
        <f t="shared" si="11"/>
        <v>0</v>
      </c>
      <c r="Q74" s="232" t="s">
        <v>193</v>
      </c>
      <c r="R74" s="469">
        <f t="shared" si="12"/>
        <v>0</v>
      </c>
      <c r="S74" s="235">
        <f t="shared" si="13"/>
        <v>0</v>
      </c>
    </row>
    <row r="75" spans="1:19" ht="18">
      <c r="A75" s="232" t="s">
        <v>194</v>
      </c>
      <c r="B75" s="348">
        <v>201611</v>
      </c>
      <c r="C75" s="471">
        <v>0</v>
      </c>
      <c r="D75" s="485">
        <f>[1]MAY!D75</f>
        <v>0</v>
      </c>
      <c r="E75" s="485">
        <f>[1]MAY!E75</f>
        <v>0</v>
      </c>
      <c r="F75" s="330">
        <f t="shared" si="9"/>
        <v>0</v>
      </c>
      <c r="G75" s="233">
        <f t="shared" si="10"/>
        <v>0</v>
      </c>
      <c r="H75" s="328">
        <f t="shared" si="8"/>
        <v>0</v>
      </c>
      <c r="I75" s="327">
        <f t="shared" si="7"/>
        <v>0</v>
      </c>
      <c r="J75" s="232" t="s">
        <v>194</v>
      </c>
      <c r="K75" s="348">
        <v>201611</v>
      </c>
      <c r="L75" s="326">
        <v>0</v>
      </c>
      <c r="M75" s="485">
        <f>[1]MAY!M75</f>
        <v>0</v>
      </c>
      <c r="N75" s="485">
        <f>[1]MAY!N75</f>
        <v>0</v>
      </c>
      <c r="O75" s="469">
        <v>0</v>
      </c>
      <c r="P75" s="237">
        <f t="shared" si="11"/>
        <v>0</v>
      </c>
      <c r="Q75" s="232" t="s">
        <v>194</v>
      </c>
      <c r="R75" s="469">
        <f t="shared" si="12"/>
        <v>0</v>
      </c>
      <c r="S75" s="235">
        <f t="shared" si="13"/>
        <v>0</v>
      </c>
    </row>
    <row r="76" spans="1:19" ht="18">
      <c r="A76" s="232" t="s">
        <v>195</v>
      </c>
      <c r="B76" s="348">
        <v>201701</v>
      </c>
      <c r="C76" s="471">
        <v>0</v>
      </c>
      <c r="D76" s="485">
        <f>[1]MAY!D76</f>
        <v>0</v>
      </c>
      <c r="E76" s="485">
        <f>[1]MAY!E76</f>
        <v>0</v>
      </c>
      <c r="F76" s="330">
        <f t="shared" si="9"/>
        <v>0</v>
      </c>
      <c r="G76" s="233">
        <f t="shared" si="10"/>
        <v>0</v>
      </c>
      <c r="H76" s="328">
        <f t="shared" si="8"/>
        <v>0</v>
      </c>
      <c r="I76" s="327">
        <f t="shared" si="7"/>
        <v>0</v>
      </c>
      <c r="J76" s="232" t="s">
        <v>195</v>
      </c>
      <c r="K76" s="348">
        <v>201701</v>
      </c>
      <c r="L76" s="326">
        <v>0</v>
      </c>
      <c r="M76" s="485">
        <f>[1]MAY!M76</f>
        <v>0</v>
      </c>
      <c r="N76" s="485">
        <f>[1]MAY!N76</f>
        <v>0</v>
      </c>
      <c r="O76" s="469">
        <v>0</v>
      </c>
      <c r="P76" s="237">
        <f t="shared" si="11"/>
        <v>0</v>
      </c>
      <c r="Q76" s="232" t="s">
        <v>195</v>
      </c>
      <c r="R76" s="469">
        <f t="shared" si="12"/>
        <v>0</v>
      </c>
      <c r="S76" s="235">
        <f t="shared" si="13"/>
        <v>0</v>
      </c>
    </row>
    <row r="77" spans="1:19" ht="18">
      <c r="A77" s="232" t="s">
        <v>196</v>
      </c>
      <c r="B77" s="348">
        <v>201702</v>
      </c>
      <c r="C77" s="471">
        <v>0</v>
      </c>
      <c r="D77" s="485">
        <f>[1]MAY!D77</f>
        <v>0</v>
      </c>
      <c r="E77" s="485">
        <f>[1]MAY!E77</f>
        <v>0</v>
      </c>
      <c r="F77" s="330">
        <f t="shared" si="9"/>
        <v>0</v>
      </c>
      <c r="G77" s="233">
        <f t="shared" si="10"/>
        <v>0</v>
      </c>
      <c r="H77" s="328">
        <f t="shared" si="8"/>
        <v>0</v>
      </c>
      <c r="I77" s="327">
        <f t="shared" si="7"/>
        <v>0</v>
      </c>
      <c r="J77" s="232" t="s">
        <v>196</v>
      </c>
      <c r="K77" s="348">
        <v>201702</v>
      </c>
      <c r="L77" s="326">
        <v>0</v>
      </c>
      <c r="M77" s="485">
        <f>[1]MAY!M77</f>
        <v>0</v>
      </c>
      <c r="N77" s="485">
        <f>[1]MAY!N77</f>
        <v>0</v>
      </c>
      <c r="O77" s="469">
        <v>0</v>
      </c>
      <c r="P77" s="237">
        <f t="shared" si="11"/>
        <v>0</v>
      </c>
      <c r="Q77" s="232" t="s">
        <v>195</v>
      </c>
      <c r="R77" s="469">
        <f t="shared" si="12"/>
        <v>0</v>
      </c>
      <c r="S77" s="235">
        <f t="shared" si="13"/>
        <v>0</v>
      </c>
    </row>
    <row r="78" spans="1:19" ht="18">
      <c r="A78" s="232" t="s">
        <v>197</v>
      </c>
      <c r="B78" s="348">
        <v>201703</v>
      </c>
      <c r="C78" s="471">
        <v>0</v>
      </c>
      <c r="D78" s="485">
        <f>[1]MAY!D78</f>
        <v>0</v>
      </c>
      <c r="E78" s="485">
        <f>[1]MAY!E78</f>
        <v>0</v>
      </c>
      <c r="F78" s="330">
        <f t="shared" si="9"/>
        <v>0</v>
      </c>
      <c r="G78" s="233">
        <f t="shared" si="10"/>
        <v>0</v>
      </c>
      <c r="H78" s="328">
        <f t="shared" si="8"/>
        <v>0</v>
      </c>
      <c r="I78" s="327">
        <f t="shared" si="7"/>
        <v>0</v>
      </c>
      <c r="J78" s="232" t="s">
        <v>197</v>
      </c>
      <c r="K78" s="348">
        <v>201703</v>
      </c>
      <c r="L78" s="326">
        <v>0</v>
      </c>
      <c r="M78" s="485">
        <f>[1]MAY!M78</f>
        <v>0</v>
      </c>
      <c r="N78" s="485">
        <f>[1]MAY!N78</f>
        <v>0</v>
      </c>
      <c r="O78" s="469">
        <v>0</v>
      </c>
      <c r="P78" s="237">
        <f t="shared" si="11"/>
        <v>0</v>
      </c>
      <c r="Q78" s="232" t="s">
        <v>197</v>
      </c>
      <c r="R78" s="469">
        <f t="shared" si="12"/>
        <v>0</v>
      </c>
      <c r="S78" s="235">
        <f t="shared" si="13"/>
        <v>0</v>
      </c>
    </row>
    <row r="79" spans="1:19" ht="18">
      <c r="A79" s="232" t="s">
        <v>198</v>
      </c>
      <c r="B79" s="348">
        <v>201704</v>
      </c>
      <c r="C79" s="471">
        <v>0</v>
      </c>
      <c r="D79" s="485">
        <f>[1]MAY!D79</f>
        <v>0</v>
      </c>
      <c r="E79" s="485">
        <f>[1]MAY!E79</f>
        <v>0</v>
      </c>
      <c r="F79" s="330">
        <f t="shared" si="9"/>
        <v>0</v>
      </c>
      <c r="G79" s="233">
        <f t="shared" si="10"/>
        <v>0</v>
      </c>
      <c r="H79" s="328">
        <f t="shared" si="8"/>
        <v>0</v>
      </c>
      <c r="I79" s="327">
        <f t="shared" si="7"/>
        <v>0</v>
      </c>
      <c r="J79" s="232" t="s">
        <v>198</v>
      </c>
      <c r="K79" s="348">
        <v>201704</v>
      </c>
      <c r="L79" s="326">
        <v>0</v>
      </c>
      <c r="M79" s="485">
        <f>[1]MAY!M79</f>
        <v>0</v>
      </c>
      <c r="N79" s="485">
        <f>[1]MAY!N79</f>
        <v>0</v>
      </c>
      <c r="O79" s="469">
        <v>0</v>
      </c>
      <c r="P79" s="237">
        <f t="shared" si="11"/>
        <v>0</v>
      </c>
      <c r="Q79" s="232" t="s">
        <v>198</v>
      </c>
      <c r="R79" s="469">
        <f t="shared" si="12"/>
        <v>0</v>
      </c>
      <c r="S79" s="235">
        <f t="shared" si="13"/>
        <v>0</v>
      </c>
    </row>
    <row r="80" spans="1:19" ht="18">
      <c r="A80" s="232" t="s">
        <v>199</v>
      </c>
      <c r="B80" s="348">
        <v>201801</v>
      </c>
      <c r="C80" s="471">
        <v>0</v>
      </c>
      <c r="D80" s="485">
        <f>[1]MAY!D80</f>
        <v>0</v>
      </c>
      <c r="E80" s="485">
        <f>[1]MAY!E80</f>
        <v>0</v>
      </c>
      <c r="F80" s="330">
        <f t="shared" si="9"/>
        <v>0</v>
      </c>
      <c r="G80" s="233">
        <f t="shared" si="10"/>
        <v>0</v>
      </c>
      <c r="H80" s="328">
        <f t="shared" si="8"/>
        <v>0</v>
      </c>
      <c r="I80" s="327">
        <f t="shared" si="7"/>
        <v>0</v>
      </c>
      <c r="J80" s="232" t="s">
        <v>199</v>
      </c>
      <c r="K80" s="348">
        <v>201801</v>
      </c>
      <c r="L80" s="326">
        <v>0</v>
      </c>
      <c r="M80" s="485">
        <f>[1]MAY!M80</f>
        <v>0</v>
      </c>
      <c r="N80" s="485">
        <f>[1]MAY!N80</f>
        <v>0</v>
      </c>
      <c r="O80" s="469">
        <v>0</v>
      </c>
      <c r="P80" s="237">
        <f t="shared" si="11"/>
        <v>0</v>
      </c>
      <c r="Q80" s="232" t="s">
        <v>197</v>
      </c>
      <c r="R80" s="469">
        <f t="shared" si="12"/>
        <v>0</v>
      </c>
      <c r="S80" s="235">
        <f t="shared" si="13"/>
        <v>0</v>
      </c>
    </row>
    <row r="81" spans="1:19" ht="18">
      <c r="A81" s="232" t="s">
        <v>200</v>
      </c>
      <c r="B81" s="348">
        <v>201802</v>
      </c>
      <c r="C81" s="471">
        <v>0</v>
      </c>
      <c r="D81" s="485">
        <f>[1]MAY!D81</f>
        <v>0</v>
      </c>
      <c r="E81" s="485">
        <f>[1]MAY!E81</f>
        <v>0</v>
      </c>
      <c r="F81" s="330">
        <f t="shared" si="9"/>
        <v>0</v>
      </c>
      <c r="G81" s="233">
        <f t="shared" si="10"/>
        <v>0</v>
      </c>
      <c r="H81" s="328">
        <f t="shared" si="8"/>
        <v>0</v>
      </c>
      <c r="I81" s="327">
        <f t="shared" si="7"/>
        <v>0</v>
      </c>
      <c r="J81" s="232" t="s">
        <v>200</v>
      </c>
      <c r="K81" s="348">
        <v>201802</v>
      </c>
      <c r="L81" s="326">
        <v>0</v>
      </c>
      <c r="M81" s="485">
        <f>[1]MAY!M81</f>
        <v>0</v>
      </c>
      <c r="N81" s="485">
        <f>[1]MAY!N81</f>
        <v>0</v>
      </c>
      <c r="O81" s="469">
        <v>0</v>
      </c>
      <c r="P81" s="237">
        <f t="shared" si="11"/>
        <v>0</v>
      </c>
      <c r="Q81" s="232" t="s">
        <v>198</v>
      </c>
      <c r="R81" s="469">
        <f t="shared" si="12"/>
        <v>0</v>
      </c>
      <c r="S81" s="235">
        <f t="shared" si="13"/>
        <v>0</v>
      </c>
    </row>
    <row r="82" spans="1:19" ht="18">
      <c r="A82" s="231"/>
      <c r="B82" s="230" t="s">
        <v>201</v>
      </c>
      <c r="C82" s="229">
        <f t="shared" ref="C82:I82" si="14">SUM(C5:C81)</f>
        <v>0</v>
      </c>
      <c r="D82" s="229">
        <f t="shared" si="14"/>
        <v>15855000</v>
      </c>
      <c r="E82" s="229">
        <f t="shared" si="14"/>
        <v>15967408.09</v>
      </c>
      <c r="F82" s="229">
        <f t="shared" si="14"/>
        <v>0</v>
      </c>
      <c r="G82" s="229">
        <f t="shared" si="14"/>
        <v>15967408.09</v>
      </c>
      <c r="H82" s="229">
        <f t="shared" si="14"/>
        <v>31934816.18</v>
      </c>
      <c r="I82" s="229">
        <f t="shared" si="14"/>
        <v>31934816.18</v>
      </c>
      <c r="J82" s="228"/>
      <c r="K82" s="230" t="s">
        <v>201</v>
      </c>
      <c r="L82" s="227">
        <f>SUM(L5:L81)</f>
        <v>15512845.789999999</v>
      </c>
      <c r="M82" s="227">
        <f>SUM(M5:M81)</f>
        <v>537747500</v>
      </c>
      <c r="N82" s="227">
        <f>SUM(N5:N81)-0.01</f>
        <v>535582500</v>
      </c>
      <c r="O82" s="227">
        <f>SUM(O5:O81)</f>
        <v>0</v>
      </c>
      <c r="P82" s="226">
        <f>SUM(P5:P81)</f>
        <v>551095345.79999995</v>
      </c>
      <c r="Q82" s="225" t="s">
        <v>201</v>
      </c>
      <c r="R82" s="227">
        <f>SUM(R5:R81)</f>
        <v>569457500</v>
      </c>
      <c r="S82" s="227">
        <f>SUM(S5:S81)</f>
        <v>567517316.19000006</v>
      </c>
    </row>
    <row r="83" spans="1:19" ht="18">
      <c r="A83" s="224"/>
      <c r="B83" s="223"/>
      <c r="C83" s="223"/>
      <c r="D83" s="222">
        <f>D82*2+M82</f>
        <v>569457500</v>
      </c>
      <c r="E83" s="222">
        <f>E82*2+N82</f>
        <v>567517316.17999995</v>
      </c>
      <c r="F83" s="223"/>
      <c r="G83" s="221"/>
      <c r="H83" s="221"/>
      <c r="I83" s="223"/>
      <c r="J83" s="224"/>
      <c r="K83" s="223"/>
      <c r="L83" s="223"/>
      <c r="M83" s="223"/>
      <c r="N83" s="223"/>
      <c r="O83" s="223"/>
      <c r="P83" s="221"/>
      <c r="Q83" s="220"/>
      <c r="R83" s="219"/>
      <c r="S83" s="218"/>
    </row>
    <row r="84" spans="1:19" ht="18">
      <c r="A84" s="217" t="s">
        <v>202</v>
      </c>
      <c r="B84" s="216"/>
      <c r="C84" s="215"/>
      <c r="D84" s="215"/>
      <c r="E84" s="215" t="s">
        <v>203</v>
      </c>
      <c r="F84" s="214"/>
      <c r="G84" s="213"/>
      <c r="H84" s="213"/>
      <c r="I84" s="214"/>
      <c r="J84" s="217" t="s">
        <v>202</v>
      </c>
      <c r="K84" s="216"/>
      <c r="L84" s="216" t="s">
        <v>204</v>
      </c>
      <c r="M84" s="215"/>
      <c r="N84" s="216" t="s">
        <v>203</v>
      </c>
      <c r="O84" s="212"/>
      <c r="P84" s="211"/>
      <c r="Q84" s="220"/>
      <c r="R84" s="210">
        <f>SUM(R6,R13,R23,R26,R51,L6,L13,L23,L26,L51)</f>
        <v>356870170.51999998</v>
      </c>
      <c r="S84" s="209">
        <f>SUM(,S6,S13,S23,S26,S51)</f>
        <v>346747900.75999999</v>
      </c>
    </row>
    <row r="85" spans="1:19" ht="18">
      <c r="A85" s="208"/>
      <c r="B85" s="212"/>
      <c r="C85" s="207"/>
      <c r="D85" s="215" t="s">
        <v>204</v>
      </c>
      <c r="E85" s="215">
        <f>E82*2</f>
        <v>31934816.18</v>
      </c>
      <c r="F85" s="215"/>
      <c r="G85" s="213"/>
      <c r="H85" s="213"/>
      <c r="I85" s="214"/>
      <c r="J85" s="206"/>
      <c r="K85" s="216"/>
      <c r="L85" s="207"/>
      <c r="M85" s="215"/>
      <c r="N85" s="216"/>
      <c r="O85" s="212"/>
      <c r="P85" s="211"/>
      <c r="Q85" s="205"/>
      <c r="R85" s="43">
        <f>R82-R84</f>
        <v>212587329.47999999</v>
      </c>
      <c r="S85" s="44">
        <f>S82-S84</f>
        <v>220769415.43000001</v>
      </c>
    </row>
    <row r="86" spans="1:19" ht="18.75" thickBot="1">
      <c r="A86" s="23" t="s">
        <v>205</v>
      </c>
      <c r="B86" s="45"/>
      <c r="C86" s="26"/>
      <c r="D86" s="26"/>
      <c r="E86" s="45" t="s">
        <v>203</v>
      </c>
      <c r="F86" s="26"/>
      <c r="G86" s="46" t="s">
        <v>204</v>
      </c>
      <c r="H86" s="30"/>
      <c r="I86" s="26"/>
      <c r="J86" s="23" t="s">
        <v>205</v>
      </c>
      <c r="K86" s="45"/>
      <c r="L86" s="26"/>
      <c r="M86" s="26"/>
      <c r="N86" s="45" t="s">
        <v>203</v>
      </c>
      <c r="O86" s="47" t="s">
        <v>204</v>
      </c>
      <c r="P86" s="34"/>
      <c r="Q86" s="48"/>
      <c r="R86" s="38"/>
      <c r="S86" s="49"/>
    </row>
    <row r="87" spans="1:19">
      <c r="S87" s="41">
        <f>S6+S13+S23+S26+S51</f>
        <v>346747900.75999999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02"/>
  <sheetViews>
    <sheetView tabSelected="1" zoomScale="70" zoomScaleNormal="70" zoomScaleSheetLayoutView="55" zoomScalePageLayoutView="70" workbookViewId="0">
      <pane xSplit="2" ySplit="3" topLeftCell="C57" activePane="bottomRight" state="frozen"/>
      <selection activeCell="L19" sqref="L19"/>
      <selection pane="topRight" activeCell="L19" sqref="L19"/>
      <selection pane="bottomLeft" activeCell="L19" sqref="L19"/>
      <selection pane="bottomRight" activeCell="F102" sqref="F102"/>
    </sheetView>
  </sheetViews>
  <sheetFormatPr defaultColWidth="9" defaultRowHeight="20.25"/>
  <cols>
    <col min="1" max="1" width="50.28515625" style="540" customWidth="1"/>
    <col min="2" max="2" width="1" style="540" hidden="1" customWidth="1"/>
    <col min="3" max="3" width="15.28515625" style="540" bestFit="1" customWidth="1"/>
    <col min="4" max="4" width="15.42578125" style="543" customWidth="1"/>
    <col min="5" max="5" width="17.42578125" style="543" customWidth="1"/>
    <col min="6" max="6" width="13.42578125" style="542" customWidth="1"/>
    <col min="7" max="7" width="16.42578125" style="542" customWidth="1"/>
    <col min="8" max="8" width="13.140625" style="540" customWidth="1"/>
    <col min="9" max="9" width="15.42578125" style="540" customWidth="1"/>
    <col min="10" max="10" width="13.42578125" style="540" customWidth="1"/>
    <col min="11" max="11" width="15.28515625" style="540" bestFit="1" customWidth="1"/>
    <col min="12" max="12" width="13.7109375" style="540" bestFit="1" customWidth="1"/>
    <col min="13" max="13" width="14" style="540" bestFit="1" customWidth="1"/>
    <col min="14" max="14" width="13" style="540" bestFit="1" customWidth="1"/>
    <col min="15" max="15" width="13.28515625" style="540" bestFit="1" customWidth="1"/>
    <col min="16" max="16" width="13.42578125" style="540" bestFit="1" customWidth="1"/>
    <col min="17" max="17" width="14" style="540" bestFit="1" customWidth="1"/>
    <col min="18" max="18" width="13" style="540" bestFit="1" customWidth="1"/>
    <col min="19" max="19" width="13.28515625" style="540" bestFit="1" customWidth="1"/>
    <col min="20" max="20" width="13.42578125" style="540" bestFit="1" customWidth="1"/>
    <col min="21" max="21" width="14" style="540" bestFit="1" customWidth="1"/>
    <col min="22" max="22" width="13" style="540" bestFit="1" customWidth="1"/>
    <col min="23" max="23" width="13.28515625" style="540" bestFit="1" customWidth="1"/>
    <col min="24" max="24" width="13.42578125" style="540" bestFit="1" customWidth="1"/>
    <col min="25" max="25" width="14" style="540" bestFit="1" customWidth="1"/>
    <col min="26" max="26" width="13" style="540" bestFit="1" customWidth="1"/>
    <col min="27" max="27" width="13.28515625" style="540" bestFit="1" customWidth="1"/>
    <col min="28" max="28" width="13.42578125" style="540" bestFit="1" customWidth="1"/>
    <col min="29" max="29" width="14" style="540" bestFit="1" customWidth="1"/>
    <col min="30" max="30" width="13" style="540" bestFit="1" customWidth="1"/>
    <col min="31" max="31" width="13.28515625" style="540" bestFit="1" customWidth="1"/>
    <col min="32" max="32" width="13.42578125" style="540" bestFit="1" customWidth="1"/>
    <col min="33" max="33" width="14" style="540" bestFit="1" customWidth="1"/>
    <col min="34" max="34" width="13" style="540" bestFit="1" customWidth="1"/>
    <col min="35" max="35" width="13.28515625" style="540" bestFit="1" customWidth="1"/>
    <col min="36" max="36" width="13.42578125" style="540" bestFit="1" customWidth="1"/>
    <col min="37" max="37" width="14" style="540" bestFit="1" customWidth="1"/>
    <col min="38" max="38" width="13" style="540" bestFit="1" customWidth="1"/>
    <col min="39" max="39" width="13.28515625" style="540" bestFit="1" customWidth="1"/>
    <col min="40" max="40" width="13.42578125" style="540" bestFit="1" customWidth="1"/>
    <col min="41" max="41" width="14" style="540" bestFit="1" customWidth="1"/>
    <col min="42" max="42" width="13" style="540" bestFit="1" customWidth="1"/>
    <col min="43" max="43" width="13.28515625" style="540" bestFit="1" customWidth="1"/>
    <col min="44" max="44" width="13.42578125" style="540" bestFit="1" customWidth="1"/>
    <col min="45" max="45" width="14" style="540" bestFit="1" customWidth="1"/>
    <col min="46" max="46" width="13" style="540" bestFit="1" customWidth="1"/>
    <col min="47" max="47" width="13.28515625" style="540" bestFit="1" customWidth="1"/>
    <col min="48" max="48" width="13.42578125" style="540" bestFit="1" customWidth="1"/>
    <col min="49" max="49" width="14" style="540" bestFit="1" customWidth="1"/>
    <col min="50" max="50" width="13" style="540" bestFit="1" customWidth="1"/>
    <col min="51" max="51" width="13.28515625" style="540" bestFit="1" customWidth="1"/>
    <col min="52" max="52" width="13.42578125" style="540" bestFit="1" customWidth="1"/>
    <col min="53" max="53" width="14" style="540" bestFit="1" customWidth="1"/>
    <col min="54" max="54" width="13" style="540" bestFit="1" customWidth="1"/>
    <col min="55" max="55" width="13.28515625" style="540" bestFit="1" customWidth="1"/>
    <col min="56" max="57" width="13.42578125" style="540" bestFit="1" customWidth="1"/>
    <col min="58" max="58" width="12.7109375" style="540" bestFit="1" customWidth="1"/>
    <col min="59" max="59" width="13.140625" style="540" bestFit="1" customWidth="1"/>
    <col min="60" max="61" width="13.42578125" style="540" bestFit="1" customWidth="1"/>
    <col min="62" max="62" width="12.7109375" style="540" bestFit="1" customWidth="1"/>
    <col min="63" max="63" width="13.140625" style="540" bestFit="1" customWidth="1"/>
    <col min="64" max="65" width="13.42578125" style="540" bestFit="1" customWidth="1"/>
    <col min="66" max="66" width="13" style="540" bestFit="1" customWidth="1"/>
    <col min="67" max="67" width="13.28515625" style="540" bestFit="1" customWidth="1"/>
    <col min="68" max="68" width="13.42578125" style="540" bestFit="1" customWidth="1"/>
    <col min="69" max="69" width="14" style="540" bestFit="1" customWidth="1"/>
    <col min="70" max="70" width="12.7109375" style="540" bestFit="1" customWidth="1"/>
    <col min="71" max="71" width="13.140625" style="540" bestFit="1" customWidth="1"/>
    <col min="72" max="72" width="13.42578125" style="540" bestFit="1" customWidth="1"/>
    <col min="73" max="73" width="14" style="540" bestFit="1" customWidth="1"/>
    <col min="74" max="74" width="13" style="540" bestFit="1" customWidth="1"/>
    <col min="75" max="75" width="13.28515625" style="540" bestFit="1" customWidth="1"/>
    <col min="76" max="76" width="13.42578125" style="540" bestFit="1" customWidth="1"/>
    <col min="77" max="77" width="14" style="540" bestFit="1" customWidth="1"/>
    <col min="78" max="78" width="12.7109375" style="540" bestFit="1" customWidth="1"/>
    <col min="79" max="79" width="13.140625" style="540" bestFit="1" customWidth="1"/>
    <col min="80" max="81" width="13.42578125" style="540" bestFit="1" customWidth="1"/>
    <col min="82" max="82" width="12.7109375" style="540" bestFit="1" customWidth="1"/>
    <col min="83" max="83" width="13.140625" style="540" bestFit="1" customWidth="1"/>
    <col min="84" max="85" width="13.42578125" style="540" bestFit="1" customWidth="1"/>
    <col min="86" max="86" width="12.7109375" style="540" bestFit="1" customWidth="1"/>
    <col min="87" max="87" width="13.140625" style="540" bestFit="1" customWidth="1"/>
    <col min="88" max="89" width="13.42578125" style="540" bestFit="1" customWidth="1"/>
    <col min="90" max="90" width="12.7109375" style="540" bestFit="1" customWidth="1"/>
    <col min="91" max="91" width="13.140625" style="540" bestFit="1" customWidth="1"/>
    <col min="92" max="92" width="12.85546875" style="540" customWidth="1"/>
    <col min="93" max="97" width="14" style="540" bestFit="1" customWidth="1"/>
    <col min="98" max="98" width="13" style="540" bestFit="1" customWidth="1"/>
    <col min="99" max="99" width="14.85546875" style="540" bestFit="1" customWidth="1"/>
    <col min="100" max="100" width="13.42578125" style="541" customWidth="1"/>
    <col min="101" max="101" width="15.28515625" style="540" customWidth="1"/>
    <col min="102" max="102" width="14" style="540" customWidth="1"/>
    <col min="103" max="103" width="14.42578125" style="540" customWidth="1"/>
    <col min="104" max="104" width="15" style="540" customWidth="1"/>
    <col min="105" max="105" width="15.42578125" style="540" customWidth="1"/>
    <col min="106" max="107" width="14" style="540" customWidth="1"/>
    <col min="108" max="143" width="12.42578125" style="540" customWidth="1"/>
    <col min="144" max="16384" width="9" style="540"/>
  </cols>
  <sheetData>
    <row r="1" spans="1:100">
      <c r="A1" s="561"/>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c r="BE1" s="544"/>
      <c r="BF1" s="544"/>
      <c r="BG1" s="544"/>
      <c r="BH1" s="544"/>
      <c r="BI1" s="544"/>
      <c r="BJ1" s="544"/>
      <c r="BK1" s="544"/>
      <c r="BL1" s="544"/>
      <c r="BM1" s="544"/>
      <c r="BN1" s="544"/>
      <c r="BO1" s="544"/>
      <c r="BP1" s="544"/>
      <c r="BQ1" s="544"/>
      <c r="BR1" s="544"/>
      <c r="BS1" s="544"/>
      <c r="BT1" s="544"/>
      <c r="BU1" s="544"/>
      <c r="BV1" s="544"/>
      <c r="BW1" s="544"/>
      <c r="BX1" s="544"/>
      <c r="BY1" s="544"/>
      <c r="BZ1" s="544"/>
      <c r="CA1" s="544"/>
      <c r="CB1" s="544"/>
      <c r="CC1" s="544"/>
      <c r="CD1" s="544"/>
      <c r="CE1" s="544"/>
      <c r="CF1" s="544"/>
      <c r="CG1" s="544"/>
      <c r="CH1" s="544"/>
      <c r="CI1" s="544"/>
      <c r="CJ1" s="544"/>
    </row>
    <row r="2" spans="1:100" ht="24" thickBot="1">
      <c r="A2" s="560" t="s">
        <v>527</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544"/>
      <c r="AN2" s="544"/>
      <c r="AO2" s="544"/>
      <c r="AP2" s="544"/>
      <c r="AQ2" s="544"/>
      <c r="AR2" s="544"/>
      <c r="AS2" s="544"/>
      <c r="AT2" s="544"/>
      <c r="AU2" s="544"/>
      <c r="AV2" s="544"/>
      <c r="AW2" s="544"/>
      <c r="AX2" s="544"/>
      <c r="AY2" s="544"/>
      <c r="AZ2" s="544"/>
      <c r="BA2" s="544"/>
      <c r="BB2" s="544"/>
      <c r="BC2" s="544"/>
      <c r="BD2" s="544"/>
      <c r="BE2" s="544"/>
      <c r="BF2" s="544"/>
      <c r="BG2" s="544"/>
      <c r="BH2" s="544"/>
      <c r="BI2" s="544"/>
      <c r="BJ2" s="544"/>
      <c r="BK2" s="544"/>
      <c r="BL2" s="544"/>
      <c r="BM2" s="544"/>
      <c r="BN2" s="544"/>
      <c r="BO2" s="544"/>
      <c r="BP2" s="544"/>
      <c r="BQ2" s="544"/>
      <c r="BR2" s="544"/>
      <c r="BS2" s="544"/>
      <c r="BT2" s="544"/>
      <c r="BU2" s="544"/>
      <c r="BV2" s="544"/>
      <c r="BW2" s="544"/>
      <c r="BX2" s="544"/>
      <c r="BY2" s="544"/>
      <c r="BZ2" s="544"/>
      <c r="CA2" s="544"/>
      <c r="CB2" s="544"/>
      <c r="CC2" s="544"/>
      <c r="CD2" s="544"/>
      <c r="CE2" s="544"/>
      <c r="CF2" s="544"/>
      <c r="CG2" s="544"/>
      <c r="CH2" s="544"/>
      <c r="CI2" s="544"/>
      <c r="CJ2" s="544"/>
    </row>
    <row r="3" spans="1:100" ht="21.75" thickTop="1" thickBot="1">
      <c r="A3" s="540" t="s">
        <v>532</v>
      </c>
      <c r="C3" s="567" t="s">
        <v>526</v>
      </c>
      <c r="D3" s="566" t="s">
        <v>215</v>
      </c>
      <c r="E3" s="565" t="s">
        <v>215</v>
      </c>
      <c r="F3" s="564" t="s">
        <v>216</v>
      </c>
      <c r="G3" s="564" t="s">
        <v>216</v>
      </c>
      <c r="H3" s="563" t="s">
        <v>217</v>
      </c>
      <c r="I3" s="563" t="s">
        <v>218</v>
      </c>
      <c r="J3" s="563" t="s">
        <v>219</v>
      </c>
      <c r="K3" s="563" t="s">
        <v>220</v>
      </c>
      <c r="L3" s="563"/>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c r="BC3" s="544"/>
      <c r="BD3" s="544"/>
      <c r="BE3" s="544"/>
      <c r="BF3" s="544"/>
      <c r="BG3" s="544"/>
      <c r="BH3" s="544"/>
      <c r="BI3" s="544"/>
      <c r="BJ3" s="544"/>
      <c r="BK3" s="544"/>
      <c r="BL3" s="544"/>
      <c r="BM3" s="544"/>
      <c r="BN3" s="544"/>
      <c r="BO3" s="544"/>
      <c r="BP3" s="544"/>
      <c r="BQ3" s="544"/>
      <c r="BR3" s="544"/>
      <c r="BS3" s="544"/>
      <c r="BT3" s="544"/>
      <c r="BU3" s="544"/>
      <c r="BV3" s="544"/>
      <c r="BW3" s="544"/>
      <c r="BX3" s="544"/>
      <c r="BY3" s="544"/>
      <c r="BZ3" s="544"/>
      <c r="CA3" s="544"/>
      <c r="CB3" s="544"/>
      <c r="CC3" s="544"/>
      <c r="CD3" s="544"/>
      <c r="CE3" s="544"/>
      <c r="CF3" s="544"/>
      <c r="CG3" s="544"/>
      <c r="CH3" s="544"/>
      <c r="CI3" s="544"/>
      <c r="CJ3" s="544"/>
    </row>
    <row r="4" spans="1:100" ht="21" thickTop="1">
      <c r="C4" s="544"/>
      <c r="D4" s="576" t="s">
        <v>529</v>
      </c>
      <c r="E4" s="576" t="s">
        <v>528</v>
      </c>
      <c r="F4" s="575" t="s">
        <v>529</v>
      </c>
      <c r="G4" s="575" t="s">
        <v>528</v>
      </c>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c r="AJ4" s="544"/>
      <c r="AK4" s="544"/>
      <c r="AL4" s="544"/>
      <c r="AM4" s="544"/>
      <c r="AN4" s="544"/>
      <c r="AO4" s="544"/>
      <c r="AP4" s="544"/>
      <c r="AQ4" s="544"/>
      <c r="AR4" s="544"/>
      <c r="AS4" s="544"/>
      <c r="AT4" s="544"/>
      <c r="AU4" s="544"/>
      <c r="AV4" s="544"/>
      <c r="AW4" s="544"/>
      <c r="AX4" s="544"/>
      <c r="AY4" s="544"/>
      <c r="AZ4" s="544"/>
      <c r="BA4" s="544"/>
      <c r="BB4" s="544"/>
      <c r="BC4" s="544"/>
      <c r="BD4" s="544"/>
      <c r="BE4" s="544"/>
      <c r="BF4" s="544"/>
      <c r="BG4" s="544"/>
      <c r="BH4" s="544"/>
      <c r="BI4" s="544"/>
      <c r="BJ4" s="544"/>
      <c r="BK4" s="544"/>
      <c r="BL4" s="544"/>
      <c r="BM4" s="544"/>
      <c r="BN4" s="544"/>
      <c r="BO4" s="544"/>
      <c r="BP4" s="544"/>
      <c r="BQ4" s="544"/>
      <c r="BR4" s="544"/>
      <c r="BS4" s="544"/>
      <c r="BT4" s="544"/>
      <c r="BU4" s="544"/>
      <c r="BV4" s="544"/>
      <c r="BW4" s="544"/>
      <c r="BX4" s="544"/>
      <c r="BY4" s="544"/>
      <c r="BZ4" s="544"/>
      <c r="CA4" s="544"/>
      <c r="CB4" s="544"/>
      <c r="CC4" s="544"/>
      <c r="CD4" s="544"/>
      <c r="CE4" s="544"/>
      <c r="CF4" s="544"/>
      <c r="CG4" s="544"/>
      <c r="CH4" s="544"/>
      <c r="CI4" s="544"/>
      <c r="CJ4" s="544"/>
    </row>
    <row r="5" spans="1:100">
      <c r="C5" s="544"/>
      <c r="D5" s="546"/>
      <c r="E5" s="546"/>
      <c r="F5" s="545"/>
      <c r="G5" s="545"/>
      <c r="H5" s="544"/>
      <c r="I5" s="544"/>
      <c r="J5" s="544"/>
      <c r="K5" s="544"/>
      <c r="L5" s="544"/>
      <c r="M5" s="544"/>
      <c r="N5" s="544"/>
      <c r="O5" s="544"/>
      <c r="P5" s="544"/>
      <c r="Q5" s="544"/>
      <c r="R5" s="544"/>
      <c r="S5" s="544"/>
      <c r="T5" s="544"/>
      <c r="U5" s="544"/>
      <c r="V5" s="544"/>
      <c r="W5" s="544"/>
      <c r="X5" s="544"/>
      <c r="Y5" s="544"/>
      <c r="Z5" s="544"/>
      <c r="AA5" s="544"/>
      <c r="AB5" s="544"/>
      <c r="AC5" s="544"/>
      <c r="AD5" s="544"/>
      <c r="AE5" s="544"/>
      <c r="AF5" s="544"/>
      <c r="AG5" s="544"/>
      <c r="AH5" s="544"/>
      <c r="AI5" s="544"/>
      <c r="AJ5" s="544"/>
      <c r="AK5" s="544"/>
      <c r="AL5" s="544"/>
      <c r="AM5" s="544"/>
      <c r="AN5" s="544"/>
      <c r="AO5" s="544"/>
      <c r="AP5" s="544"/>
      <c r="AQ5" s="544"/>
      <c r="AR5" s="544"/>
      <c r="AS5" s="544"/>
      <c r="AT5" s="544"/>
      <c r="AU5" s="544"/>
      <c r="AV5" s="544"/>
      <c r="AW5" s="544"/>
      <c r="AX5" s="544"/>
      <c r="AY5" s="544"/>
      <c r="AZ5" s="544"/>
      <c r="BA5" s="544"/>
      <c r="BB5" s="544"/>
      <c r="BC5" s="544"/>
      <c r="BD5" s="544"/>
      <c r="BE5" s="544"/>
      <c r="BF5" s="544"/>
      <c r="BG5" s="544"/>
      <c r="BH5" s="544"/>
      <c r="BI5" s="544"/>
      <c r="BJ5" s="544"/>
      <c r="BK5" s="544"/>
      <c r="BL5" s="544"/>
      <c r="BM5" s="544"/>
      <c r="BN5" s="544"/>
      <c r="BO5" s="544"/>
      <c r="BP5" s="544"/>
      <c r="BQ5" s="544"/>
      <c r="BR5" s="544"/>
      <c r="BS5" s="544"/>
      <c r="BT5" s="544"/>
      <c r="BU5" s="544"/>
      <c r="BV5" s="544"/>
      <c r="BW5" s="544"/>
      <c r="BX5" s="544"/>
      <c r="BY5" s="544"/>
      <c r="BZ5" s="544"/>
      <c r="CA5" s="544"/>
      <c r="CB5" s="544"/>
      <c r="CC5" s="544"/>
      <c r="CD5" s="544"/>
      <c r="CE5" s="544"/>
      <c r="CF5" s="544"/>
      <c r="CG5" s="544"/>
      <c r="CH5" s="544"/>
      <c r="CI5" s="544"/>
      <c r="CJ5" s="544"/>
    </row>
    <row r="6" spans="1:100" s="554" customFormat="1">
      <c r="A6" s="554" t="s">
        <v>221</v>
      </c>
      <c r="C6" s="557">
        <v>2675.2</v>
      </c>
      <c r="D6" s="559">
        <v>2900.3</v>
      </c>
      <c r="E6" s="559">
        <v>2900.3</v>
      </c>
      <c r="F6" s="558">
        <v>3151.2</v>
      </c>
      <c r="G6" s="558">
        <v>3151.2</v>
      </c>
      <c r="H6" s="557">
        <v>3276.2</v>
      </c>
      <c r="I6" s="557">
        <v>3416</v>
      </c>
      <c r="J6" s="557">
        <v>3546.6</v>
      </c>
      <c r="K6" s="557">
        <v>3686.1</v>
      </c>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6"/>
      <c r="AN6" s="556"/>
      <c r="AO6" s="556"/>
      <c r="AP6" s="556"/>
      <c r="AQ6" s="556"/>
      <c r="AR6" s="556"/>
      <c r="AS6" s="556"/>
      <c r="AT6" s="556"/>
      <c r="AU6" s="556"/>
      <c r="AV6" s="556"/>
      <c r="AW6" s="556"/>
      <c r="AX6" s="556"/>
      <c r="AY6" s="556"/>
      <c r="AZ6" s="556"/>
      <c r="BA6" s="556"/>
      <c r="BB6" s="556"/>
      <c r="BC6" s="556"/>
      <c r="BD6" s="556"/>
      <c r="BE6" s="556"/>
      <c r="BF6" s="556"/>
      <c r="BG6" s="556"/>
      <c r="BH6" s="556"/>
      <c r="BI6" s="556"/>
      <c r="BJ6" s="556"/>
      <c r="BK6" s="556"/>
      <c r="BL6" s="556"/>
      <c r="BM6" s="556"/>
      <c r="BN6" s="556"/>
      <c r="BO6" s="556"/>
      <c r="BP6" s="556"/>
      <c r="BQ6" s="556"/>
      <c r="BR6" s="556"/>
      <c r="BS6" s="556"/>
      <c r="BT6" s="556"/>
      <c r="BU6" s="556"/>
      <c r="BV6" s="556"/>
      <c r="BW6" s="556"/>
      <c r="BX6" s="556"/>
      <c r="BY6" s="556"/>
      <c r="BZ6" s="556"/>
      <c r="CA6" s="556"/>
      <c r="CB6" s="556"/>
      <c r="CC6" s="556"/>
      <c r="CD6" s="556"/>
      <c r="CE6" s="556"/>
      <c r="CF6" s="556"/>
      <c r="CG6" s="556"/>
      <c r="CH6" s="556"/>
      <c r="CI6" s="556"/>
      <c r="CJ6" s="556"/>
      <c r="CV6" s="555"/>
    </row>
    <row r="7" spans="1:100" s="554" customFormat="1">
      <c r="A7" s="554" t="s">
        <v>223</v>
      </c>
      <c r="C7" s="551">
        <v>983.2</v>
      </c>
      <c r="D7" s="553">
        <v>1133.4000000000001</v>
      </c>
      <c r="E7" s="553">
        <v>1133.4000000000001</v>
      </c>
      <c r="F7" s="552">
        <v>1257.3</v>
      </c>
      <c r="G7" s="552">
        <v>1257.3</v>
      </c>
      <c r="H7" s="551">
        <v>1300.0999999999999</v>
      </c>
      <c r="I7" s="551">
        <v>1359.8</v>
      </c>
      <c r="J7" s="551">
        <v>1404.8</v>
      </c>
      <c r="K7" s="551">
        <v>1463.1</v>
      </c>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556"/>
      <c r="AL7" s="556"/>
      <c r="AM7" s="556"/>
      <c r="AN7" s="556"/>
      <c r="AO7" s="556"/>
      <c r="AP7" s="556"/>
      <c r="AQ7" s="556"/>
      <c r="AR7" s="556"/>
      <c r="AS7" s="556"/>
      <c r="AT7" s="556"/>
      <c r="AU7" s="556"/>
      <c r="AV7" s="556"/>
      <c r="AW7" s="556"/>
      <c r="AX7" s="556"/>
      <c r="AY7" s="556"/>
      <c r="AZ7" s="556"/>
      <c r="BA7" s="556"/>
      <c r="BB7" s="556"/>
      <c r="BC7" s="556"/>
      <c r="BD7" s="556"/>
      <c r="BE7" s="556"/>
      <c r="BF7" s="556"/>
      <c r="BG7" s="556"/>
      <c r="BH7" s="556"/>
      <c r="BI7" s="556"/>
      <c r="BJ7" s="556"/>
      <c r="BK7" s="556"/>
      <c r="BL7" s="556"/>
      <c r="BM7" s="556"/>
      <c r="BN7" s="556"/>
      <c r="BO7" s="556"/>
      <c r="BP7" s="556"/>
      <c r="BQ7" s="556"/>
      <c r="BR7" s="556"/>
      <c r="BS7" s="556"/>
      <c r="BT7" s="556"/>
      <c r="BU7" s="556"/>
      <c r="BV7" s="556"/>
      <c r="BW7" s="556"/>
      <c r="BX7" s="556"/>
      <c r="BY7" s="556"/>
      <c r="BZ7" s="556"/>
      <c r="CA7" s="556"/>
      <c r="CB7" s="556"/>
      <c r="CC7" s="556"/>
      <c r="CD7" s="556"/>
      <c r="CE7" s="556"/>
      <c r="CF7" s="556"/>
      <c r="CG7" s="556"/>
      <c r="CH7" s="556"/>
      <c r="CI7" s="556"/>
      <c r="CJ7" s="556"/>
      <c r="CV7" s="555"/>
    </row>
    <row r="8" spans="1:100">
      <c r="A8" s="540" t="s">
        <v>236</v>
      </c>
      <c r="C8" s="551">
        <v>470.9</v>
      </c>
      <c r="D8" s="553">
        <v>497</v>
      </c>
      <c r="E8" s="553">
        <v>497</v>
      </c>
      <c r="F8" s="552">
        <v>532.6</v>
      </c>
      <c r="G8" s="552">
        <v>532.6</v>
      </c>
      <c r="H8" s="551">
        <v>552.29999999999995</v>
      </c>
      <c r="I8" s="551">
        <v>574.79999999999995</v>
      </c>
      <c r="J8" s="551">
        <v>597.29999999999995</v>
      </c>
      <c r="K8" s="551">
        <v>620.70000000000005</v>
      </c>
      <c r="L8" s="544"/>
      <c r="M8" s="544"/>
      <c r="N8" s="544"/>
      <c r="O8" s="544"/>
      <c r="P8" s="544"/>
      <c r="Q8" s="544"/>
      <c r="R8" s="544"/>
      <c r="S8" s="544"/>
      <c r="T8" s="544"/>
      <c r="U8" s="544"/>
      <c r="V8" s="544"/>
      <c r="W8" s="544"/>
      <c r="X8" s="544"/>
      <c r="Y8" s="544"/>
      <c r="Z8" s="544"/>
      <c r="AA8" s="544"/>
      <c r="AB8" s="544"/>
      <c r="AC8" s="544"/>
      <c r="AD8" s="544"/>
      <c r="AE8" s="544"/>
      <c r="AF8" s="544"/>
      <c r="AG8" s="544"/>
      <c r="AH8" s="544"/>
      <c r="AI8" s="544"/>
      <c r="AJ8" s="544"/>
      <c r="AK8" s="544"/>
      <c r="AL8" s="544"/>
      <c r="AM8" s="544"/>
      <c r="AN8" s="544"/>
      <c r="AO8" s="544"/>
      <c r="AP8" s="544"/>
      <c r="AQ8" s="544"/>
      <c r="AR8" s="544"/>
      <c r="AS8" s="544"/>
      <c r="AT8" s="544"/>
      <c r="AU8" s="544"/>
      <c r="AV8" s="544"/>
      <c r="AW8" s="544"/>
      <c r="AX8" s="544"/>
      <c r="AY8" s="544"/>
      <c r="AZ8" s="544"/>
      <c r="BA8" s="544"/>
      <c r="BB8" s="544"/>
      <c r="BC8" s="544"/>
      <c r="BD8" s="544"/>
      <c r="BE8" s="544"/>
      <c r="BF8" s="544"/>
      <c r="BG8" s="544"/>
      <c r="BH8" s="544"/>
      <c r="BI8" s="544"/>
      <c r="BJ8" s="544"/>
      <c r="BK8" s="544"/>
      <c r="BL8" s="544"/>
      <c r="BM8" s="544"/>
      <c r="BN8" s="544"/>
      <c r="BO8" s="544"/>
      <c r="BP8" s="544"/>
      <c r="BQ8" s="544"/>
      <c r="BR8" s="544"/>
      <c r="BS8" s="544"/>
      <c r="BT8" s="544"/>
      <c r="BU8" s="544"/>
      <c r="BV8" s="544"/>
      <c r="BW8" s="544"/>
      <c r="BX8" s="544"/>
      <c r="BY8" s="544"/>
      <c r="BZ8" s="544"/>
      <c r="CA8" s="544"/>
      <c r="CB8" s="544"/>
      <c r="CC8" s="544"/>
      <c r="CD8" s="544"/>
      <c r="CE8" s="544"/>
      <c r="CF8" s="544"/>
      <c r="CG8" s="544"/>
      <c r="CH8" s="544"/>
      <c r="CI8" s="544"/>
      <c r="CJ8" s="544"/>
    </row>
    <row r="9" spans="1:100">
      <c r="A9" s="540" t="s">
        <v>237</v>
      </c>
      <c r="C9" s="551">
        <v>281.39999999999998</v>
      </c>
      <c r="D9" s="553">
        <v>360.9</v>
      </c>
      <c r="E9" s="553">
        <v>360.9</v>
      </c>
      <c r="F9" s="552">
        <v>402.7</v>
      </c>
      <c r="G9" s="552">
        <v>402.7</v>
      </c>
      <c r="H9" s="551">
        <v>418.1</v>
      </c>
      <c r="I9" s="551">
        <v>435</v>
      </c>
      <c r="J9" s="551">
        <v>452.4</v>
      </c>
      <c r="K9" s="551">
        <v>470.5</v>
      </c>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4"/>
      <c r="AY9" s="544"/>
      <c r="AZ9" s="544"/>
      <c r="BA9" s="544"/>
      <c r="BB9" s="544"/>
      <c r="BC9" s="544"/>
      <c r="BD9" s="544"/>
      <c r="BE9" s="544"/>
      <c r="BF9" s="544"/>
      <c r="BG9" s="544"/>
      <c r="BH9" s="544"/>
      <c r="BI9" s="544"/>
      <c r="BJ9" s="544"/>
      <c r="BK9" s="544"/>
      <c r="BL9" s="544"/>
      <c r="BM9" s="544"/>
      <c r="BN9" s="544"/>
      <c r="BO9" s="544"/>
      <c r="BP9" s="544"/>
      <c r="BQ9" s="544"/>
      <c r="BR9" s="544"/>
      <c r="BS9" s="544"/>
      <c r="BT9" s="544"/>
      <c r="BU9" s="544"/>
      <c r="BV9" s="544"/>
      <c r="BW9" s="544"/>
      <c r="BX9" s="544"/>
      <c r="BY9" s="544"/>
      <c r="BZ9" s="544"/>
      <c r="CA9" s="544"/>
      <c r="CB9" s="544"/>
      <c r="CC9" s="544"/>
      <c r="CD9" s="544"/>
      <c r="CE9" s="544"/>
      <c r="CF9" s="544"/>
      <c r="CG9" s="544"/>
      <c r="CH9" s="544"/>
      <c r="CI9" s="544"/>
      <c r="CJ9" s="544"/>
    </row>
    <row r="10" spans="1:100">
      <c r="A10" s="540" t="s">
        <v>238</v>
      </c>
      <c r="C10" s="551">
        <v>0</v>
      </c>
      <c r="D10" s="553">
        <v>0</v>
      </c>
      <c r="E10" s="553">
        <v>0</v>
      </c>
      <c r="F10" s="552">
        <v>0</v>
      </c>
      <c r="G10" s="552">
        <v>0</v>
      </c>
      <c r="H10" s="551">
        <v>0</v>
      </c>
      <c r="I10" s="551">
        <v>0</v>
      </c>
      <c r="J10" s="551">
        <v>0</v>
      </c>
      <c r="K10" s="551">
        <v>0</v>
      </c>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4"/>
      <c r="AY10" s="544"/>
      <c r="AZ10" s="544"/>
      <c r="BA10" s="544"/>
      <c r="BB10" s="544"/>
      <c r="BC10" s="544"/>
      <c r="BD10" s="544"/>
      <c r="BE10" s="544"/>
      <c r="BF10" s="544"/>
      <c r="BG10" s="544"/>
      <c r="BH10" s="544"/>
      <c r="BI10" s="544"/>
      <c r="BJ10" s="544"/>
      <c r="BK10" s="544"/>
      <c r="BL10" s="544"/>
      <c r="BM10" s="544"/>
      <c r="BN10" s="544"/>
      <c r="BO10" s="544"/>
      <c r="BP10" s="544"/>
      <c r="BQ10" s="544"/>
      <c r="BR10" s="544"/>
      <c r="BS10" s="544"/>
      <c r="BT10" s="544"/>
      <c r="BU10" s="544"/>
      <c r="BV10" s="544"/>
      <c r="BW10" s="544"/>
      <c r="BX10" s="544"/>
      <c r="BY10" s="544"/>
      <c r="BZ10" s="544"/>
      <c r="CA10" s="544"/>
      <c r="CB10" s="544"/>
      <c r="CC10" s="544"/>
      <c r="CD10" s="544"/>
      <c r="CE10" s="544"/>
      <c r="CF10" s="544"/>
      <c r="CG10" s="544"/>
      <c r="CH10" s="544"/>
      <c r="CI10" s="544"/>
      <c r="CJ10" s="544"/>
    </row>
    <row r="11" spans="1:100">
      <c r="A11" s="540" t="s">
        <v>239</v>
      </c>
      <c r="C11" s="551">
        <v>0</v>
      </c>
      <c r="D11" s="553">
        <v>0</v>
      </c>
      <c r="E11" s="553">
        <v>0</v>
      </c>
      <c r="F11" s="552">
        <v>0</v>
      </c>
      <c r="G11" s="552">
        <v>0</v>
      </c>
      <c r="H11" s="551">
        <v>0</v>
      </c>
      <c r="I11" s="551">
        <v>0</v>
      </c>
      <c r="J11" s="551">
        <v>0</v>
      </c>
      <c r="K11" s="551">
        <v>0</v>
      </c>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4"/>
      <c r="AY11" s="544"/>
      <c r="AZ11" s="544"/>
      <c r="BA11" s="544"/>
      <c r="BB11" s="544"/>
      <c r="BC11" s="544"/>
      <c r="BD11" s="544"/>
      <c r="BE11" s="544"/>
      <c r="BF11" s="544"/>
      <c r="BG11" s="544"/>
      <c r="BH11" s="544"/>
      <c r="BI11" s="544"/>
      <c r="BJ11" s="544"/>
      <c r="BK11" s="544"/>
      <c r="BL11" s="544"/>
      <c r="BM11" s="544"/>
      <c r="BN11" s="544"/>
      <c r="BO11" s="544"/>
      <c r="BP11" s="544"/>
      <c r="BQ11" s="544"/>
      <c r="BR11" s="544"/>
      <c r="BS11" s="544"/>
      <c r="BT11" s="544"/>
      <c r="BU11" s="544"/>
      <c r="BV11" s="544"/>
      <c r="BW11" s="544"/>
      <c r="BX11" s="544"/>
      <c r="BY11" s="544"/>
      <c r="BZ11" s="544"/>
      <c r="CA11" s="544"/>
      <c r="CB11" s="544"/>
      <c r="CC11" s="544"/>
      <c r="CD11" s="544"/>
      <c r="CE11" s="544"/>
      <c r="CF11" s="544"/>
      <c r="CG11" s="544"/>
      <c r="CH11" s="544"/>
      <c r="CI11" s="544"/>
      <c r="CJ11" s="544"/>
    </row>
    <row r="12" spans="1:100">
      <c r="A12" s="540" t="s">
        <v>240</v>
      </c>
      <c r="C12" s="551">
        <v>137.5</v>
      </c>
      <c r="D12" s="553">
        <v>135.69999999999999</v>
      </c>
      <c r="E12" s="553">
        <v>135.69999999999999</v>
      </c>
      <c r="F12" s="552">
        <v>144.5</v>
      </c>
      <c r="G12" s="552">
        <v>144.5</v>
      </c>
      <c r="H12" s="551">
        <v>157.6</v>
      </c>
      <c r="I12" s="551">
        <v>163.5</v>
      </c>
      <c r="J12" s="551">
        <v>171.1</v>
      </c>
      <c r="K12" s="551">
        <v>179.1</v>
      </c>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c r="AU12" s="544"/>
      <c r="AV12" s="544"/>
      <c r="AW12" s="544"/>
      <c r="AX12" s="544"/>
      <c r="AY12" s="544"/>
      <c r="AZ12" s="544"/>
      <c r="BA12" s="544"/>
      <c r="BB12" s="544"/>
      <c r="BC12" s="544"/>
      <c r="BD12" s="544"/>
      <c r="BE12" s="544"/>
      <c r="BF12" s="544"/>
      <c r="BG12" s="544"/>
      <c r="BH12" s="544"/>
      <c r="BI12" s="544"/>
      <c r="BJ12" s="544"/>
      <c r="BK12" s="544"/>
      <c r="BL12" s="544"/>
      <c r="BM12" s="544"/>
      <c r="BN12" s="544"/>
      <c r="BO12" s="544"/>
      <c r="BP12" s="544"/>
      <c r="BQ12" s="544"/>
      <c r="BR12" s="544"/>
      <c r="BS12" s="544"/>
      <c r="BT12" s="544"/>
      <c r="BU12" s="544"/>
      <c r="BV12" s="544"/>
      <c r="BW12" s="544"/>
      <c r="BX12" s="544"/>
      <c r="BY12" s="544"/>
      <c r="BZ12" s="544"/>
      <c r="CA12" s="544"/>
      <c r="CB12" s="544"/>
      <c r="CC12" s="544"/>
      <c r="CD12" s="544"/>
      <c r="CE12" s="544"/>
      <c r="CF12" s="544"/>
      <c r="CG12" s="544"/>
      <c r="CH12" s="544"/>
      <c r="CI12" s="544"/>
      <c r="CJ12" s="544"/>
    </row>
    <row r="13" spans="1:100">
      <c r="A13" s="540" t="s">
        <v>241</v>
      </c>
      <c r="C13" s="551">
        <v>0</v>
      </c>
      <c r="D13" s="553">
        <v>0</v>
      </c>
      <c r="E13" s="553">
        <v>0</v>
      </c>
      <c r="F13" s="552">
        <v>0</v>
      </c>
      <c r="G13" s="552">
        <v>0</v>
      </c>
      <c r="H13" s="551">
        <v>0</v>
      </c>
      <c r="I13" s="551">
        <v>0</v>
      </c>
      <c r="J13" s="551">
        <v>0</v>
      </c>
      <c r="K13" s="551">
        <v>0</v>
      </c>
      <c r="L13" s="544"/>
      <c r="M13" s="544"/>
      <c r="N13" s="544"/>
      <c r="O13" s="544"/>
      <c r="P13" s="544"/>
      <c r="Q13" s="544"/>
      <c r="R13" s="544"/>
      <c r="S13" s="544"/>
      <c r="T13" s="544"/>
      <c r="U13" s="544"/>
      <c r="V13" s="544"/>
      <c r="W13" s="544"/>
      <c r="X13" s="544"/>
      <c r="Y13" s="544"/>
      <c r="Z13" s="544"/>
      <c r="AA13" s="544"/>
      <c r="AB13" s="544"/>
      <c r="AC13" s="544"/>
      <c r="AD13" s="544"/>
      <c r="AE13" s="544"/>
      <c r="AF13" s="544"/>
      <c r="AG13" s="544"/>
      <c r="AH13" s="544"/>
      <c r="AI13" s="544"/>
      <c r="AJ13" s="544"/>
      <c r="AK13" s="544"/>
      <c r="AL13" s="544"/>
      <c r="AM13" s="544"/>
      <c r="AN13" s="544"/>
      <c r="AO13" s="544"/>
      <c r="AP13" s="544"/>
      <c r="AQ13" s="544"/>
      <c r="AR13" s="544"/>
      <c r="AS13" s="544"/>
      <c r="AT13" s="544"/>
      <c r="AU13" s="544"/>
      <c r="AV13" s="544"/>
      <c r="AW13" s="544"/>
      <c r="AX13" s="544"/>
      <c r="AY13" s="544"/>
      <c r="AZ13" s="544"/>
      <c r="BA13" s="544"/>
      <c r="BB13" s="544"/>
      <c r="BC13" s="544"/>
      <c r="BD13" s="544"/>
      <c r="BE13" s="544"/>
      <c r="BF13" s="544"/>
      <c r="BG13" s="544"/>
      <c r="BH13" s="544"/>
      <c r="BI13" s="544"/>
      <c r="BJ13" s="544"/>
      <c r="BK13" s="544"/>
      <c r="BL13" s="544"/>
      <c r="BM13" s="544"/>
      <c r="BN13" s="544"/>
      <c r="BO13" s="544"/>
      <c r="BP13" s="544"/>
      <c r="BQ13" s="544"/>
      <c r="BR13" s="544"/>
      <c r="BS13" s="544"/>
      <c r="BT13" s="544"/>
      <c r="BU13" s="544"/>
      <c r="BV13" s="544"/>
      <c r="BW13" s="544"/>
      <c r="BX13" s="544"/>
      <c r="BY13" s="544"/>
      <c r="BZ13" s="544"/>
      <c r="CA13" s="544"/>
      <c r="CB13" s="544"/>
      <c r="CC13" s="544"/>
      <c r="CD13" s="544"/>
      <c r="CE13" s="544"/>
      <c r="CF13" s="544"/>
      <c r="CG13" s="544"/>
      <c r="CH13" s="544"/>
      <c r="CI13" s="544"/>
      <c r="CJ13" s="544"/>
    </row>
    <row r="14" spans="1:100">
      <c r="A14" s="540" t="s">
        <v>242</v>
      </c>
      <c r="C14" s="551">
        <v>48.7</v>
      </c>
      <c r="D14" s="553">
        <v>50.6</v>
      </c>
      <c r="E14" s="553">
        <v>50.6</v>
      </c>
      <c r="F14" s="552">
        <v>52.3</v>
      </c>
      <c r="G14" s="552">
        <v>52.3</v>
      </c>
      <c r="H14" s="551">
        <v>42.2</v>
      </c>
      <c r="I14" s="551">
        <v>51.5</v>
      </c>
      <c r="J14" s="551">
        <v>43.4</v>
      </c>
      <c r="K14" s="551">
        <v>46.6</v>
      </c>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4"/>
      <c r="AQ14" s="544"/>
      <c r="AR14" s="544"/>
      <c r="AS14" s="544"/>
      <c r="AT14" s="544"/>
      <c r="AU14" s="544"/>
      <c r="AV14" s="544"/>
      <c r="AW14" s="544"/>
      <c r="AX14" s="544"/>
      <c r="AY14" s="544"/>
      <c r="AZ14" s="544"/>
      <c r="BA14" s="544"/>
      <c r="BB14" s="544"/>
      <c r="BC14" s="544"/>
      <c r="BD14" s="544"/>
      <c r="BE14" s="544"/>
      <c r="BF14" s="544"/>
      <c r="BG14" s="544"/>
      <c r="BH14" s="544"/>
      <c r="BI14" s="544"/>
      <c r="BJ14" s="544"/>
      <c r="BK14" s="544"/>
      <c r="BL14" s="544"/>
      <c r="BM14" s="544"/>
      <c r="BN14" s="544"/>
      <c r="BO14" s="544"/>
      <c r="BP14" s="544"/>
      <c r="BQ14" s="544"/>
      <c r="BR14" s="544"/>
      <c r="BS14" s="544"/>
      <c r="BT14" s="544"/>
      <c r="BU14" s="544"/>
      <c r="BV14" s="544"/>
      <c r="BW14" s="544"/>
      <c r="BX14" s="544"/>
      <c r="BY14" s="544"/>
      <c r="BZ14" s="544"/>
      <c r="CA14" s="544"/>
      <c r="CB14" s="544"/>
      <c r="CC14" s="544"/>
      <c r="CD14" s="544"/>
      <c r="CE14" s="544"/>
      <c r="CF14" s="544"/>
      <c r="CG14" s="544"/>
      <c r="CH14" s="544"/>
      <c r="CI14" s="544"/>
      <c r="CJ14" s="544"/>
    </row>
    <row r="15" spans="1:100">
      <c r="A15" s="540" t="s">
        <v>243</v>
      </c>
      <c r="C15" s="551">
        <v>44.8</v>
      </c>
      <c r="D15" s="553">
        <v>89.2</v>
      </c>
      <c r="E15" s="553">
        <v>89.2</v>
      </c>
      <c r="F15" s="552">
        <v>125.3</v>
      </c>
      <c r="G15" s="552">
        <v>125.3</v>
      </c>
      <c r="H15" s="551">
        <v>129.9</v>
      </c>
      <c r="I15" s="551">
        <v>135.1</v>
      </c>
      <c r="J15" s="551">
        <v>140.5</v>
      </c>
      <c r="K15" s="551">
        <v>146.19999999999999</v>
      </c>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4"/>
      <c r="AL15" s="544"/>
      <c r="AM15" s="544"/>
      <c r="AN15" s="544"/>
      <c r="AO15" s="544"/>
      <c r="AP15" s="544"/>
      <c r="AQ15" s="544"/>
      <c r="AR15" s="544"/>
      <c r="AS15" s="544"/>
      <c r="AT15" s="544"/>
      <c r="AU15" s="544"/>
      <c r="AV15" s="544"/>
      <c r="AW15" s="544"/>
      <c r="AX15" s="544"/>
      <c r="AY15" s="544"/>
      <c r="AZ15" s="544"/>
      <c r="BA15" s="544"/>
      <c r="BB15" s="544"/>
      <c r="BC15" s="544"/>
      <c r="BD15" s="544"/>
      <c r="BE15" s="544"/>
      <c r="BF15" s="544"/>
      <c r="BG15" s="544"/>
      <c r="BH15" s="544"/>
      <c r="BI15" s="544"/>
      <c r="BJ15" s="544"/>
      <c r="BK15" s="544"/>
      <c r="BL15" s="544"/>
      <c r="BM15" s="544"/>
      <c r="BN15" s="544"/>
      <c r="BO15" s="544"/>
      <c r="BP15" s="544"/>
      <c r="BQ15" s="544"/>
      <c r="BR15" s="544"/>
      <c r="BS15" s="544"/>
      <c r="BT15" s="544"/>
      <c r="BU15" s="544"/>
      <c r="BV15" s="544"/>
      <c r="BW15" s="544"/>
      <c r="BX15" s="544"/>
      <c r="BY15" s="544"/>
      <c r="BZ15" s="544"/>
      <c r="CA15" s="544"/>
      <c r="CB15" s="544"/>
      <c r="CC15" s="544"/>
      <c r="CD15" s="544"/>
      <c r="CE15" s="544"/>
      <c r="CF15" s="544"/>
      <c r="CG15" s="544"/>
      <c r="CH15" s="544"/>
      <c r="CI15" s="544"/>
      <c r="CJ15" s="544"/>
    </row>
    <row r="16" spans="1:100">
      <c r="C16" s="551"/>
      <c r="D16" s="553"/>
      <c r="E16" s="553"/>
      <c r="F16" s="552"/>
      <c r="G16" s="552"/>
      <c r="H16" s="551"/>
      <c r="I16" s="551"/>
      <c r="J16" s="551"/>
      <c r="K16" s="551"/>
      <c r="L16" s="544"/>
      <c r="M16" s="544"/>
      <c r="N16" s="544"/>
      <c r="O16" s="544"/>
      <c r="P16" s="544"/>
      <c r="Q16" s="544"/>
      <c r="R16" s="544"/>
      <c r="S16" s="544"/>
      <c r="T16" s="544"/>
      <c r="U16" s="544"/>
      <c r="V16" s="544"/>
      <c r="W16" s="544"/>
      <c r="X16" s="544"/>
      <c r="Y16" s="544"/>
      <c r="Z16" s="544"/>
      <c r="AA16" s="544"/>
      <c r="AB16" s="544"/>
      <c r="AC16" s="544"/>
      <c r="AD16" s="544"/>
      <c r="AE16" s="544"/>
      <c r="AF16" s="544"/>
      <c r="AG16" s="544"/>
      <c r="AH16" s="544"/>
      <c r="AI16" s="544"/>
      <c r="AJ16" s="544"/>
      <c r="AK16" s="544"/>
      <c r="AL16" s="544"/>
      <c r="AM16" s="544"/>
      <c r="AN16" s="544"/>
      <c r="AO16" s="544"/>
      <c r="AP16" s="544"/>
      <c r="AQ16" s="544"/>
      <c r="AR16" s="544"/>
      <c r="AS16" s="544"/>
      <c r="AT16" s="544"/>
      <c r="AU16" s="544"/>
      <c r="AV16" s="544"/>
      <c r="AW16" s="544"/>
      <c r="AX16" s="544"/>
      <c r="AY16" s="544"/>
      <c r="AZ16" s="544"/>
      <c r="BA16" s="544"/>
      <c r="BB16" s="544"/>
      <c r="BC16" s="544"/>
      <c r="BD16" s="544"/>
      <c r="BE16" s="544"/>
      <c r="BF16" s="544"/>
      <c r="BG16" s="544"/>
      <c r="BH16" s="544"/>
      <c r="BI16" s="544"/>
      <c r="BJ16" s="544"/>
      <c r="BK16" s="544"/>
      <c r="BL16" s="544"/>
      <c r="BM16" s="544"/>
      <c r="BN16" s="544"/>
      <c r="BO16" s="544"/>
      <c r="BP16" s="544"/>
      <c r="BQ16" s="544"/>
      <c r="BR16" s="544"/>
      <c r="BS16" s="544"/>
      <c r="BT16" s="544"/>
      <c r="BU16" s="544"/>
      <c r="BV16" s="544"/>
      <c r="BW16" s="544"/>
      <c r="BX16" s="544"/>
      <c r="BY16" s="544"/>
      <c r="BZ16" s="544"/>
      <c r="CA16" s="544"/>
      <c r="CB16" s="544"/>
      <c r="CC16" s="544"/>
      <c r="CD16" s="544"/>
      <c r="CE16" s="544"/>
      <c r="CF16" s="544"/>
      <c r="CG16" s="544"/>
      <c r="CH16" s="544"/>
      <c r="CI16" s="544"/>
      <c r="CJ16" s="544"/>
    </row>
    <row r="17" spans="1:100" s="554" customFormat="1">
      <c r="A17" s="554" t="s">
        <v>224</v>
      </c>
      <c r="C17" s="557">
        <v>1691.9</v>
      </c>
      <c r="D17" s="559">
        <v>1766.9</v>
      </c>
      <c r="E17" s="559">
        <v>1766.9</v>
      </c>
      <c r="F17" s="558">
        <v>1893.9</v>
      </c>
      <c r="G17" s="558">
        <v>1893.9</v>
      </c>
      <c r="H17" s="557">
        <v>1976.1</v>
      </c>
      <c r="I17" s="557">
        <v>2056.1999999999998</v>
      </c>
      <c r="J17" s="557">
        <v>2141.9</v>
      </c>
      <c r="K17" s="557">
        <v>2223</v>
      </c>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6"/>
      <c r="AK17" s="556"/>
      <c r="AL17" s="556"/>
      <c r="AM17" s="556"/>
      <c r="AN17" s="556"/>
      <c r="AO17" s="556"/>
      <c r="AP17" s="556"/>
      <c r="AQ17" s="556"/>
      <c r="AR17" s="556"/>
      <c r="AS17" s="556"/>
      <c r="AT17" s="556"/>
      <c r="AU17" s="556"/>
      <c r="AV17" s="556"/>
      <c r="AW17" s="556"/>
      <c r="AX17" s="556"/>
      <c r="AY17" s="556"/>
      <c r="AZ17" s="556"/>
      <c r="BA17" s="556"/>
      <c r="BB17" s="556"/>
      <c r="BC17" s="556"/>
      <c r="BD17" s="556"/>
      <c r="BE17" s="556"/>
      <c r="BF17" s="556"/>
      <c r="BG17" s="556"/>
      <c r="BH17" s="556"/>
      <c r="BI17" s="556"/>
      <c r="BJ17" s="556"/>
      <c r="BK17" s="556"/>
      <c r="BL17" s="556"/>
      <c r="BM17" s="556"/>
      <c r="BN17" s="556"/>
      <c r="BO17" s="556"/>
      <c r="BP17" s="556"/>
      <c r="BQ17" s="556"/>
      <c r="BR17" s="556"/>
      <c r="BS17" s="556"/>
      <c r="BT17" s="556"/>
      <c r="BU17" s="556"/>
      <c r="BV17" s="556"/>
      <c r="BW17" s="556"/>
      <c r="BX17" s="556"/>
      <c r="BY17" s="556"/>
      <c r="BZ17" s="556"/>
      <c r="CA17" s="556"/>
      <c r="CB17" s="556"/>
      <c r="CC17" s="556"/>
      <c r="CD17" s="556"/>
      <c r="CE17" s="556"/>
      <c r="CF17" s="556"/>
      <c r="CG17" s="556"/>
      <c r="CH17" s="556"/>
      <c r="CI17" s="556"/>
      <c r="CJ17" s="556"/>
      <c r="CV17" s="555"/>
    </row>
    <row r="18" spans="1:100">
      <c r="A18" s="540" t="s">
        <v>244</v>
      </c>
      <c r="C18" s="551">
        <v>0</v>
      </c>
      <c r="D18" s="553">
        <v>0</v>
      </c>
      <c r="E18" s="553">
        <v>0</v>
      </c>
      <c r="F18" s="552">
        <v>0</v>
      </c>
      <c r="G18" s="552">
        <v>0</v>
      </c>
      <c r="H18" s="551">
        <v>0</v>
      </c>
      <c r="I18" s="551">
        <v>0</v>
      </c>
      <c r="J18" s="551">
        <v>0</v>
      </c>
      <c r="K18" s="551">
        <v>0</v>
      </c>
      <c r="M18" s="544"/>
      <c r="N18" s="544"/>
      <c r="O18" s="544"/>
      <c r="P18" s="544"/>
      <c r="Q18" s="544"/>
      <c r="R18" s="544"/>
      <c r="S18" s="544"/>
      <c r="T18" s="544"/>
      <c r="U18" s="544"/>
      <c r="V18" s="544"/>
      <c r="W18" s="544"/>
      <c r="X18" s="544"/>
      <c r="Y18" s="544"/>
      <c r="Z18" s="544"/>
      <c r="AA18" s="544"/>
      <c r="AB18" s="544"/>
      <c r="AC18" s="544"/>
      <c r="AD18" s="544"/>
      <c r="AE18" s="544"/>
      <c r="AF18" s="544"/>
      <c r="AG18" s="544"/>
      <c r="AH18" s="544"/>
      <c r="AI18" s="544"/>
      <c r="AJ18" s="544"/>
      <c r="AK18" s="544"/>
      <c r="AL18" s="544"/>
      <c r="AM18" s="544"/>
      <c r="AN18" s="544"/>
      <c r="AO18" s="544"/>
      <c r="AP18" s="544"/>
      <c r="AQ18" s="544"/>
      <c r="AR18" s="544"/>
      <c r="AS18" s="544"/>
      <c r="AT18" s="544"/>
      <c r="AU18" s="544"/>
      <c r="AV18" s="544"/>
      <c r="AW18" s="544"/>
      <c r="AX18" s="544"/>
      <c r="AY18" s="544"/>
      <c r="AZ18" s="544"/>
      <c r="BA18" s="544"/>
      <c r="BB18" s="544"/>
      <c r="BC18" s="544"/>
      <c r="BD18" s="544"/>
      <c r="BE18" s="544"/>
      <c r="BF18" s="544"/>
      <c r="BG18" s="544"/>
      <c r="BH18" s="544"/>
      <c r="BI18" s="544"/>
      <c r="BJ18" s="544"/>
      <c r="BK18" s="544"/>
      <c r="BL18" s="544"/>
      <c r="BM18" s="544"/>
      <c r="BN18" s="544"/>
      <c r="BO18" s="544"/>
      <c r="BP18" s="544"/>
      <c r="BQ18" s="544"/>
      <c r="BR18" s="544"/>
      <c r="BS18" s="544"/>
      <c r="BT18" s="544"/>
      <c r="BU18" s="544"/>
      <c r="BV18" s="544"/>
      <c r="BW18" s="544"/>
      <c r="BX18" s="544"/>
      <c r="BY18" s="544"/>
      <c r="BZ18" s="544"/>
      <c r="CA18" s="544"/>
      <c r="CB18" s="544"/>
      <c r="CC18" s="544"/>
      <c r="CD18" s="544"/>
      <c r="CE18" s="544"/>
      <c r="CF18" s="544"/>
      <c r="CG18" s="544"/>
      <c r="CH18" s="544"/>
      <c r="CI18" s="544"/>
      <c r="CJ18" s="544"/>
    </row>
    <row r="19" spans="1:100">
      <c r="A19" s="540" t="s">
        <v>245</v>
      </c>
      <c r="C19" s="551">
        <v>10.4</v>
      </c>
      <c r="D19" s="553">
        <v>10.6</v>
      </c>
      <c r="E19" s="553">
        <v>10.6</v>
      </c>
      <c r="F19" s="552">
        <v>11.1</v>
      </c>
      <c r="G19" s="552">
        <v>11.1</v>
      </c>
      <c r="H19" s="551">
        <v>11.5</v>
      </c>
      <c r="I19" s="551">
        <v>14.7</v>
      </c>
      <c r="J19" s="551">
        <v>14.1</v>
      </c>
      <c r="K19" s="551">
        <v>11.9</v>
      </c>
      <c r="M19" s="544"/>
      <c r="N19" s="544"/>
      <c r="O19" s="544"/>
      <c r="P19" s="544"/>
      <c r="Q19" s="544"/>
      <c r="R19" s="544"/>
      <c r="S19" s="544"/>
      <c r="T19" s="544"/>
      <c r="U19" s="544"/>
      <c r="V19" s="544"/>
      <c r="W19" s="544"/>
      <c r="X19" s="544"/>
      <c r="Y19" s="544"/>
      <c r="Z19" s="544"/>
      <c r="AA19" s="544"/>
      <c r="AB19" s="544"/>
      <c r="AC19" s="544"/>
      <c r="AD19" s="544"/>
      <c r="AE19" s="544"/>
      <c r="AF19" s="544"/>
      <c r="AG19" s="544"/>
      <c r="AH19" s="544"/>
      <c r="AI19" s="544"/>
      <c r="AJ19" s="544"/>
      <c r="AK19" s="544"/>
      <c r="AL19" s="544"/>
      <c r="AM19" s="544"/>
      <c r="AN19" s="544"/>
      <c r="AO19" s="544"/>
      <c r="AP19" s="544"/>
      <c r="AQ19" s="544"/>
      <c r="AR19" s="544"/>
      <c r="AS19" s="544"/>
      <c r="AT19" s="544"/>
      <c r="AU19" s="544"/>
      <c r="AV19" s="544"/>
      <c r="AW19" s="544"/>
      <c r="AX19" s="544"/>
      <c r="AY19" s="544"/>
      <c r="AZ19" s="544"/>
      <c r="BA19" s="544"/>
      <c r="BB19" s="544"/>
      <c r="BC19" s="544"/>
      <c r="BD19" s="544"/>
      <c r="BE19" s="544"/>
      <c r="BF19" s="544"/>
      <c r="BG19" s="544"/>
      <c r="BH19" s="544"/>
      <c r="BI19" s="544"/>
      <c r="BJ19" s="544"/>
      <c r="BK19" s="544"/>
      <c r="BL19" s="544"/>
      <c r="BM19" s="544"/>
      <c r="BN19" s="544"/>
      <c r="BO19" s="544"/>
      <c r="BP19" s="544"/>
      <c r="BQ19" s="544"/>
      <c r="BR19" s="544"/>
      <c r="BS19" s="544"/>
      <c r="BT19" s="544"/>
      <c r="BU19" s="544"/>
      <c r="BV19" s="544"/>
      <c r="BW19" s="544"/>
      <c r="BX19" s="544"/>
      <c r="BY19" s="544"/>
      <c r="BZ19" s="544"/>
      <c r="CA19" s="544"/>
      <c r="CB19" s="544"/>
      <c r="CC19" s="544"/>
      <c r="CD19" s="544"/>
      <c r="CE19" s="544"/>
      <c r="CF19" s="544"/>
      <c r="CG19" s="544"/>
      <c r="CH19" s="544"/>
      <c r="CI19" s="544"/>
      <c r="CJ19" s="544"/>
    </row>
    <row r="20" spans="1:100" s="554" customFormat="1">
      <c r="A20" s="554" t="s">
        <v>246</v>
      </c>
      <c r="C20" s="557">
        <v>891.3</v>
      </c>
      <c r="D20" s="559">
        <v>913.9</v>
      </c>
      <c r="E20" s="559">
        <v>913.9</v>
      </c>
      <c r="F20" s="558">
        <v>959.9</v>
      </c>
      <c r="G20" s="558">
        <v>959.9</v>
      </c>
      <c r="H20" s="557">
        <v>997.3</v>
      </c>
      <c r="I20" s="557">
        <v>1037.7</v>
      </c>
      <c r="J20" s="557">
        <v>1078.8</v>
      </c>
      <c r="K20" s="551">
        <v>1120.7</v>
      </c>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556"/>
      <c r="AK20" s="556"/>
      <c r="AL20" s="556"/>
      <c r="AM20" s="556"/>
      <c r="AN20" s="556"/>
      <c r="AO20" s="556"/>
      <c r="AP20" s="556"/>
      <c r="AQ20" s="556"/>
      <c r="AR20" s="556"/>
      <c r="AS20" s="556"/>
      <c r="AT20" s="556"/>
      <c r="AU20" s="556"/>
      <c r="AV20" s="556"/>
      <c r="AW20" s="556"/>
      <c r="AX20" s="556"/>
      <c r="AY20" s="556"/>
      <c r="AZ20" s="556"/>
      <c r="BA20" s="556"/>
      <c r="BB20" s="556"/>
      <c r="BC20" s="556"/>
      <c r="BD20" s="556"/>
      <c r="BE20" s="556"/>
      <c r="BF20" s="556"/>
      <c r="BG20" s="556"/>
      <c r="BH20" s="556"/>
      <c r="BI20" s="556"/>
      <c r="BJ20" s="556"/>
      <c r="BK20" s="556"/>
      <c r="BL20" s="556"/>
      <c r="BM20" s="556"/>
      <c r="BN20" s="556"/>
      <c r="BO20" s="556"/>
      <c r="BP20" s="556"/>
      <c r="BQ20" s="556"/>
      <c r="BR20" s="556"/>
      <c r="BS20" s="556"/>
      <c r="BT20" s="556"/>
      <c r="BU20" s="556"/>
      <c r="BV20" s="556"/>
      <c r="BW20" s="556"/>
      <c r="BX20" s="556"/>
      <c r="BY20" s="556"/>
      <c r="BZ20" s="556"/>
      <c r="CA20" s="556"/>
      <c r="CB20" s="556"/>
      <c r="CC20" s="556"/>
      <c r="CD20" s="556"/>
      <c r="CE20" s="556"/>
      <c r="CF20" s="556"/>
      <c r="CG20" s="556"/>
      <c r="CH20" s="556"/>
      <c r="CI20" s="556"/>
      <c r="CJ20" s="556"/>
      <c r="CV20" s="555"/>
    </row>
    <row r="21" spans="1:100">
      <c r="A21" s="540" t="s">
        <v>247</v>
      </c>
      <c r="C21" s="551">
        <v>303.3</v>
      </c>
      <c r="D21" s="553">
        <v>321.89999999999998</v>
      </c>
      <c r="E21" s="553">
        <v>321.89999999999998</v>
      </c>
      <c r="F21" s="552">
        <v>328.6</v>
      </c>
      <c r="G21" s="552">
        <v>328.6</v>
      </c>
      <c r="H21" s="551">
        <v>342.7</v>
      </c>
      <c r="I21" s="551">
        <v>355.8</v>
      </c>
      <c r="J21" s="551">
        <v>370</v>
      </c>
      <c r="K21" s="551">
        <v>390.9</v>
      </c>
      <c r="M21" s="544"/>
      <c r="N21" s="544"/>
      <c r="O21" s="544"/>
      <c r="P21" s="544"/>
      <c r="Q21" s="544"/>
      <c r="R21" s="544"/>
      <c r="S21" s="544"/>
      <c r="T21" s="544"/>
      <c r="U21" s="544"/>
      <c r="V21" s="544"/>
      <c r="W21" s="544"/>
      <c r="X21" s="544"/>
      <c r="Y21" s="544"/>
      <c r="Z21" s="544"/>
      <c r="AA21" s="544"/>
      <c r="AB21" s="544"/>
      <c r="AC21" s="544"/>
      <c r="AD21" s="544"/>
      <c r="AE21" s="544"/>
      <c r="AF21" s="544"/>
      <c r="AG21" s="544"/>
      <c r="AH21" s="544"/>
      <c r="AI21" s="544"/>
      <c r="AJ21" s="544"/>
      <c r="AK21" s="544"/>
      <c r="AL21" s="544"/>
      <c r="AM21" s="544"/>
      <c r="AN21" s="544"/>
      <c r="AO21" s="544"/>
      <c r="AP21" s="544"/>
      <c r="AQ21" s="544"/>
      <c r="AR21" s="544"/>
      <c r="AS21" s="544"/>
      <c r="AT21" s="544"/>
      <c r="AU21" s="544"/>
      <c r="AV21" s="544"/>
      <c r="AW21" s="544"/>
      <c r="AX21" s="544"/>
      <c r="AY21" s="544"/>
      <c r="AZ21" s="544"/>
      <c r="BA21" s="544"/>
      <c r="BB21" s="544"/>
      <c r="BC21" s="544"/>
      <c r="BD21" s="544"/>
      <c r="BE21" s="544"/>
      <c r="BF21" s="544"/>
      <c r="BG21" s="544"/>
      <c r="BH21" s="544"/>
      <c r="BI21" s="544"/>
      <c r="BJ21" s="544"/>
      <c r="BK21" s="544"/>
      <c r="BL21" s="544"/>
      <c r="BM21" s="544"/>
      <c r="BN21" s="544"/>
      <c r="BO21" s="544"/>
      <c r="BP21" s="544"/>
      <c r="BQ21" s="544"/>
      <c r="BR21" s="544"/>
      <c r="BS21" s="544"/>
      <c r="BT21" s="544"/>
      <c r="BU21" s="544"/>
      <c r="BV21" s="544"/>
      <c r="BW21" s="544"/>
      <c r="BX21" s="544"/>
      <c r="BY21" s="544"/>
      <c r="BZ21" s="544"/>
      <c r="CA21" s="544"/>
      <c r="CB21" s="544"/>
      <c r="CC21" s="544"/>
      <c r="CD21" s="544"/>
      <c r="CE21" s="544"/>
      <c r="CF21" s="544"/>
      <c r="CG21" s="544"/>
      <c r="CH21" s="544"/>
      <c r="CI21" s="544"/>
      <c r="CJ21" s="544"/>
    </row>
    <row r="22" spans="1:100">
      <c r="A22" s="540" t="s">
        <v>248</v>
      </c>
      <c r="C22" s="551">
        <v>218.6</v>
      </c>
      <c r="D22" s="553">
        <v>227.7</v>
      </c>
      <c r="E22" s="553">
        <v>227.7</v>
      </c>
      <c r="F22" s="552">
        <v>233.1</v>
      </c>
      <c r="G22" s="552">
        <v>233.1</v>
      </c>
      <c r="H22" s="551">
        <v>246.6</v>
      </c>
      <c r="I22" s="551">
        <v>255.8</v>
      </c>
      <c r="J22" s="551">
        <v>273.2</v>
      </c>
      <c r="K22" s="551">
        <v>286.39999999999998</v>
      </c>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544"/>
      <c r="AP22" s="544"/>
      <c r="AQ22" s="544"/>
      <c r="AR22" s="544"/>
      <c r="AS22" s="544"/>
      <c r="AT22" s="544"/>
      <c r="AU22" s="544"/>
      <c r="AV22" s="544"/>
      <c r="AW22" s="544"/>
      <c r="AX22" s="544"/>
      <c r="AY22" s="544"/>
      <c r="AZ22" s="544"/>
      <c r="BA22" s="544"/>
      <c r="BB22" s="544"/>
      <c r="BC22" s="544"/>
      <c r="BD22" s="544"/>
      <c r="BE22" s="544"/>
      <c r="BF22" s="544"/>
      <c r="BG22" s="544"/>
      <c r="BH22" s="544"/>
      <c r="BI22" s="544"/>
      <c r="BJ22" s="544"/>
      <c r="BK22" s="544"/>
      <c r="BL22" s="544"/>
      <c r="BM22" s="544"/>
      <c r="BN22" s="544"/>
      <c r="BO22" s="544"/>
      <c r="BP22" s="544"/>
      <c r="BQ22" s="544"/>
      <c r="BR22" s="544"/>
      <c r="BS22" s="544"/>
      <c r="BT22" s="544"/>
      <c r="BU22" s="544"/>
      <c r="BV22" s="544"/>
      <c r="BW22" s="544"/>
      <c r="BX22" s="544"/>
      <c r="BY22" s="544"/>
      <c r="BZ22" s="544"/>
      <c r="CA22" s="544"/>
      <c r="CB22" s="544"/>
      <c r="CC22" s="544"/>
      <c r="CD22" s="544"/>
      <c r="CE22" s="544"/>
      <c r="CF22" s="544"/>
      <c r="CG22" s="544"/>
      <c r="CH22" s="544"/>
      <c r="CI22" s="544"/>
      <c r="CJ22" s="544"/>
    </row>
    <row r="23" spans="1:100">
      <c r="A23" s="540" t="s">
        <v>249</v>
      </c>
      <c r="C23" s="551">
        <v>0</v>
      </c>
      <c r="D23" s="553">
        <v>0</v>
      </c>
      <c r="E23" s="553">
        <v>0</v>
      </c>
      <c r="F23" s="552">
        <v>0</v>
      </c>
      <c r="G23" s="552">
        <v>0</v>
      </c>
      <c r="H23" s="551">
        <v>0</v>
      </c>
      <c r="I23" s="551">
        <v>0</v>
      </c>
      <c r="J23" s="551">
        <v>0</v>
      </c>
      <c r="K23" s="551">
        <v>0</v>
      </c>
      <c r="M23" s="544"/>
      <c r="N23" s="544"/>
      <c r="O23" s="544"/>
      <c r="P23" s="544"/>
      <c r="Q23" s="544"/>
      <c r="R23" s="544"/>
      <c r="S23" s="544"/>
      <c r="T23" s="544"/>
      <c r="U23" s="544"/>
      <c r="V23" s="544"/>
      <c r="W23" s="544"/>
      <c r="X23" s="544"/>
      <c r="Y23" s="544"/>
      <c r="Z23" s="544"/>
      <c r="AA23" s="544"/>
      <c r="AB23" s="544"/>
      <c r="AC23" s="544"/>
      <c r="AD23" s="544"/>
      <c r="AE23" s="544"/>
      <c r="AF23" s="544"/>
      <c r="AG23" s="544"/>
      <c r="AH23" s="544"/>
      <c r="AI23" s="544"/>
      <c r="AJ23" s="544"/>
      <c r="AK23" s="544"/>
      <c r="AL23" s="544"/>
      <c r="AM23" s="544"/>
      <c r="AN23" s="544"/>
      <c r="AO23" s="544"/>
      <c r="AP23" s="544"/>
      <c r="AQ23" s="544"/>
      <c r="AR23" s="544"/>
      <c r="AS23" s="544"/>
      <c r="AT23" s="544"/>
      <c r="AU23" s="544"/>
      <c r="AV23" s="544"/>
      <c r="AW23" s="544"/>
      <c r="AX23" s="544"/>
      <c r="AY23" s="544"/>
      <c r="AZ23" s="544"/>
      <c r="BA23" s="544"/>
      <c r="BB23" s="544"/>
      <c r="BC23" s="544"/>
      <c r="BD23" s="544"/>
      <c r="BE23" s="544"/>
      <c r="BF23" s="544"/>
      <c r="BG23" s="544"/>
      <c r="BH23" s="544"/>
      <c r="BI23" s="544"/>
      <c r="BJ23" s="544"/>
      <c r="BK23" s="544"/>
      <c r="BL23" s="544"/>
      <c r="BM23" s="544"/>
      <c r="BN23" s="544"/>
      <c r="BO23" s="544"/>
      <c r="BP23" s="544"/>
      <c r="BQ23" s="544"/>
      <c r="BR23" s="544"/>
      <c r="BS23" s="544"/>
      <c r="BT23" s="544"/>
      <c r="BU23" s="544"/>
      <c r="BV23" s="544"/>
      <c r="BW23" s="544"/>
      <c r="BX23" s="544"/>
      <c r="BY23" s="544"/>
      <c r="BZ23" s="544"/>
      <c r="CA23" s="544"/>
      <c r="CB23" s="544"/>
      <c r="CC23" s="544"/>
      <c r="CD23" s="544"/>
      <c r="CE23" s="544"/>
      <c r="CF23" s="544"/>
      <c r="CG23" s="544"/>
      <c r="CH23" s="544"/>
      <c r="CI23" s="544"/>
      <c r="CJ23" s="544"/>
    </row>
    <row r="24" spans="1:100">
      <c r="A24" s="540" t="s">
        <v>250</v>
      </c>
      <c r="C24" s="551">
        <v>152.30000000000001</v>
      </c>
      <c r="D24" s="553">
        <v>46.6</v>
      </c>
      <c r="E24" s="553">
        <v>46.6</v>
      </c>
      <c r="F24" s="552">
        <v>0</v>
      </c>
      <c r="G24" s="552">
        <v>0</v>
      </c>
      <c r="H24" s="551">
        <v>0</v>
      </c>
      <c r="I24" s="551">
        <v>0</v>
      </c>
      <c r="J24" s="551">
        <v>0</v>
      </c>
      <c r="K24" s="551">
        <v>0</v>
      </c>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4"/>
      <c r="AJ24" s="544"/>
      <c r="AK24" s="544"/>
      <c r="AL24" s="544"/>
      <c r="AM24" s="544"/>
      <c r="AN24" s="544"/>
      <c r="AO24" s="544"/>
      <c r="AP24" s="544"/>
      <c r="AQ24" s="544"/>
      <c r="AR24" s="544"/>
      <c r="AS24" s="544"/>
      <c r="AT24" s="544"/>
      <c r="AU24" s="544"/>
      <c r="AV24" s="544"/>
      <c r="AW24" s="544"/>
      <c r="AX24" s="544"/>
      <c r="AY24" s="544"/>
      <c r="AZ24" s="544"/>
      <c r="BA24" s="544"/>
      <c r="BB24" s="544"/>
      <c r="BC24" s="544"/>
      <c r="BD24" s="544"/>
      <c r="BE24" s="544"/>
      <c r="BF24" s="544"/>
      <c r="BG24" s="544"/>
      <c r="BH24" s="544"/>
      <c r="BI24" s="544"/>
      <c r="BJ24" s="544"/>
      <c r="BK24" s="544"/>
      <c r="BL24" s="544"/>
      <c r="BM24" s="544"/>
      <c r="BN24" s="544"/>
      <c r="BO24" s="544"/>
      <c r="BP24" s="544"/>
      <c r="BQ24" s="544"/>
      <c r="BR24" s="544"/>
      <c r="BS24" s="544"/>
      <c r="BT24" s="544"/>
      <c r="BU24" s="544"/>
      <c r="BV24" s="544"/>
      <c r="BW24" s="544"/>
      <c r="BX24" s="544"/>
      <c r="BY24" s="544"/>
      <c r="BZ24" s="544"/>
      <c r="CA24" s="544"/>
      <c r="CB24" s="544"/>
      <c r="CC24" s="544"/>
      <c r="CD24" s="544"/>
      <c r="CE24" s="544"/>
      <c r="CF24" s="544"/>
      <c r="CG24" s="544"/>
      <c r="CH24" s="544"/>
      <c r="CI24" s="544"/>
      <c r="CJ24" s="544"/>
    </row>
    <row r="25" spans="1:100">
      <c r="A25" s="540" t="s">
        <v>243</v>
      </c>
      <c r="C25" s="551">
        <v>115.9</v>
      </c>
      <c r="D25" s="553">
        <v>246.2</v>
      </c>
      <c r="E25" s="553">
        <v>246.2</v>
      </c>
      <c r="F25" s="552">
        <v>361.3</v>
      </c>
      <c r="G25" s="552">
        <v>361.3</v>
      </c>
      <c r="H25" s="551">
        <v>377.9</v>
      </c>
      <c r="I25" s="551">
        <v>392.2</v>
      </c>
      <c r="J25" s="551">
        <v>405.8</v>
      </c>
      <c r="K25" s="551">
        <v>413.1</v>
      </c>
      <c r="L25" s="551"/>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544"/>
      <c r="AY25" s="544"/>
      <c r="AZ25" s="544"/>
      <c r="BA25" s="544"/>
      <c r="BB25" s="544"/>
      <c r="BC25" s="544"/>
      <c r="BD25" s="544"/>
      <c r="BE25" s="544"/>
      <c r="BF25" s="544"/>
      <c r="BG25" s="544"/>
      <c r="BH25" s="544"/>
      <c r="BI25" s="544"/>
      <c r="BJ25" s="544"/>
      <c r="BK25" s="544"/>
      <c r="BL25" s="544"/>
      <c r="BM25" s="544"/>
      <c r="BN25" s="544"/>
      <c r="BO25" s="544"/>
      <c r="BP25" s="544"/>
      <c r="BQ25" s="544"/>
      <c r="BR25" s="544"/>
      <c r="BS25" s="544"/>
      <c r="BT25" s="544"/>
      <c r="BU25" s="544"/>
      <c r="BV25" s="544"/>
      <c r="BW25" s="544"/>
      <c r="BX25" s="544"/>
      <c r="BY25" s="544"/>
      <c r="BZ25" s="544"/>
      <c r="CA25" s="544"/>
      <c r="CB25" s="544"/>
      <c r="CC25" s="544"/>
      <c r="CD25" s="544"/>
      <c r="CE25" s="544"/>
      <c r="CF25" s="544"/>
      <c r="CG25" s="544"/>
      <c r="CH25" s="544"/>
      <c r="CI25" s="544"/>
      <c r="CJ25" s="544"/>
    </row>
    <row r="26" spans="1:100">
      <c r="C26" s="551"/>
      <c r="D26" s="553"/>
      <c r="E26" s="553"/>
      <c r="F26" s="552"/>
      <c r="G26" s="552"/>
      <c r="H26" s="551"/>
      <c r="I26" s="551"/>
      <c r="J26" s="551"/>
      <c r="K26" s="551"/>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4"/>
      <c r="AY26" s="544"/>
      <c r="AZ26" s="544"/>
      <c r="BA26" s="544"/>
      <c r="BB26" s="544"/>
      <c r="BC26" s="544"/>
      <c r="BD26" s="544"/>
      <c r="BE26" s="544"/>
      <c r="BF26" s="544"/>
      <c r="BG26" s="544"/>
      <c r="BH26" s="544"/>
      <c r="BI26" s="544"/>
      <c r="BJ26" s="544"/>
      <c r="BK26" s="544"/>
      <c r="BL26" s="544"/>
      <c r="BM26" s="544"/>
      <c r="BN26" s="544"/>
      <c r="BO26" s="544"/>
      <c r="BP26" s="544"/>
      <c r="BQ26" s="544"/>
      <c r="BR26" s="544"/>
      <c r="BS26" s="544"/>
      <c r="BT26" s="544"/>
      <c r="BU26" s="544"/>
      <c r="BV26" s="544"/>
      <c r="BW26" s="544"/>
      <c r="BX26" s="544"/>
      <c r="BY26" s="544"/>
      <c r="BZ26" s="544"/>
      <c r="CA26" s="544"/>
      <c r="CB26" s="544"/>
      <c r="CC26" s="544"/>
      <c r="CD26" s="544"/>
      <c r="CE26" s="544"/>
      <c r="CF26" s="544"/>
      <c r="CG26" s="544"/>
      <c r="CH26" s="544"/>
      <c r="CI26" s="544"/>
      <c r="CJ26" s="544"/>
    </row>
    <row r="27" spans="1:100">
      <c r="A27" s="540" t="s">
        <v>251</v>
      </c>
      <c r="C27" s="551">
        <v>189.1</v>
      </c>
      <c r="D27" s="553">
        <v>199.5</v>
      </c>
      <c r="E27" s="553">
        <v>199.5</v>
      </c>
      <c r="F27" s="552">
        <v>207.4</v>
      </c>
      <c r="G27" s="552">
        <v>207.4</v>
      </c>
      <c r="H27" s="551">
        <v>214.7</v>
      </c>
      <c r="I27" s="551">
        <v>219.9</v>
      </c>
      <c r="J27" s="551">
        <v>224.5</v>
      </c>
      <c r="K27" s="551">
        <v>234.1</v>
      </c>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4"/>
      <c r="AY27" s="544"/>
      <c r="AZ27" s="544"/>
      <c r="BA27" s="544"/>
      <c r="BB27" s="544"/>
      <c r="BC27" s="544"/>
      <c r="BD27" s="544"/>
      <c r="BE27" s="544"/>
      <c r="BF27" s="544"/>
      <c r="BG27" s="544"/>
      <c r="BH27" s="544"/>
      <c r="BI27" s="544"/>
      <c r="BJ27" s="544"/>
      <c r="BK27" s="544"/>
      <c r="BL27" s="544"/>
      <c r="BM27" s="544"/>
      <c r="BN27" s="544"/>
      <c r="BO27" s="544"/>
      <c r="BP27" s="544"/>
      <c r="BQ27" s="544"/>
      <c r="BR27" s="544"/>
      <c r="BS27" s="544"/>
      <c r="BT27" s="544"/>
      <c r="BU27" s="544"/>
      <c r="BV27" s="544"/>
      <c r="BW27" s="544"/>
      <c r="BX27" s="544"/>
      <c r="BY27" s="544"/>
      <c r="BZ27" s="544"/>
      <c r="CA27" s="544"/>
      <c r="CB27" s="544"/>
      <c r="CC27" s="544"/>
      <c r="CD27" s="544"/>
      <c r="CE27" s="544"/>
      <c r="CF27" s="544"/>
      <c r="CG27" s="544"/>
      <c r="CH27" s="544"/>
      <c r="CI27" s="544"/>
      <c r="CJ27" s="544"/>
    </row>
    <row r="28" spans="1:100">
      <c r="A28" s="540" t="s">
        <v>252</v>
      </c>
      <c r="C28" s="551">
        <v>149</v>
      </c>
      <c r="D28" s="553">
        <v>152.69999999999999</v>
      </c>
      <c r="E28" s="553">
        <v>152.69999999999999</v>
      </c>
      <c r="F28" s="552">
        <v>162.1</v>
      </c>
      <c r="G28" s="552">
        <v>162.1</v>
      </c>
      <c r="H28" s="551">
        <v>168.5</v>
      </c>
      <c r="I28" s="551">
        <v>172</v>
      </c>
      <c r="J28" s="551">
        <v>175.6</v>
      </c>
      <c r="K28" s="551">
        <v>184.2</v>
      </c>
      <c r="L28" s="544"/>
      <c r="M28" s="544"/>
      <c r="N28" s="544"/>
      <c r="O28" s="544"/>
      <c r="P28" s="544"/>
      <c r="Q28" s="544"/>
      <c r="R28" s="544"/>
      <c r="S28" s="544"/>
      <c r="T28" s="544"/>
      <c r="U28" s="544"/>
      <c r="V28" s="544"/>
      <c r="W28" s="544"/>
      <c r="X28" s="544"/>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4"/>
      <c r="AY28" s="544"/>
      <c r="AZ28" s="544"/>
      <c r="BA28" s="544"/>
      <c r="BB28" s="544"/>
      <c r="BC28" s="544"/>
      <c r="BD28" s="544"/>
      <c r="BE28" s="544"/>
      <c r="BF28" s="544"/>
      <c r="BG28" s="544"/>
      <c r="BH28" s="544"/>
      <c r="BI28" s="544"/>
      <c r="BJ28" s="544"/>
      <c r="BK28" s="544"/>
      <c r="BL28" s="544"/>
      <c r="BM28" s="544"/>
      <c r="BN28" s="544"/>
      <c r="BO28" s="544"/>
      <c r="BP28" s="544"/>
      <c r="BQ28" s="544"/>
      <c r="BR28" s="544"/>
      <c r="BS28" s="544"/>
      <c r="BT28" s="544"/>
      <c r="BU28" s="544"/>
      <c r="BV28" s="544"/>
      <c r="BW28" s="544"/>
      <c r="BX28" s="544"/>
      <c r="BY28" s="544"/>
      <c r="BZ28" s="544"/>
      <c r="CA28" s="544"/>
      <c r="CB28" s="544"/>
      <c r="CC28" s="544"/>
      <c r="CD28" s="544"/>
      <c r="CE28" s="544"/>
      <c r="CF28" s="544"/>
      <c r="CG28" s="544"/>
      <c r="CH28" s="544"/>
      <c r="CI28" s="544"/>
      <c r="CJ28" s="544"/>
    </row>
    <row r="29" spans="1:100">
      <c r="A29" s="540" t="s">
        <v>253</v>
      </c>
      <c r="C29" s="551">
        <v>22</v>
      </c>
      <c r="D29" s="553">
        <v>28.3</v>
      </c>
      <c r="E29" s="553">
        <v>28.3</v>
      </c>
      <c r="F29" s="552">
        <v>26.4</v>
      </c>
      <c r="G29" s="552">
        <v>26.4</v>
      </c>
      <c r="H29" s="551">
        <v>26.9</v>
      </c>
      <c r="I29" s="551">
        <v>28.2</v>
      </c>
      <c r="J29" s="551">
        <v>28.8</v>
      </c>
      <c r="K29" s="551">
        <v>29.4</v>
      </c>
      <c r="L29" s="544"/>
      <c r="M29" s="544"/>
      <c r="N29" s="544"/>
      <c r="O29" s="544"/>
      <c r="P29" s="544"/>
      <c r="Q29" s="544"/>
      <c r="R29" s="544"/>
      <c r="S29" s="544"/>
      <c r="T29" s="544"/>
      <c r="U29" s="544"/>
      <c r="V29" s="544"/>
      <c r="W29" s="544"/>
      <c r="X29" s="544"/>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4"/>
      <c r="AY29" s="544"/>
      <c r="AZ29" s="544"/>
      <c r="BA29" s="544"/>
      <c r="BB29" s="544"/>
      <c r="BC29" s="544"/>
      <c r="BD29" s="544"/>
      <c r="BE29" s="544"/>
      <c r="BF29" s="544"/>
      <c r="BG29" s="544"/>
      <c r="BH29" s="544"/>
      <c r="BI29" s="544"/>
      <c r="BJ29" s="544"/>
      <c r="BK29" s="544"/>
      <c r="BL29" s="544"/>
      <c r="BM29" s="544"/>
      <c r="BN29" s="544"/>
      <c r="BO29" s="544"/>
      <c r="BP29" s="544"/>
      <c r="BQ29" s="544"/>
      <c r="BR29" s="544"/>
      <c r="BS29" s="544"/>
      <c r="BT29" s="544"/>
      <c r="BU29" s="544"/>
      <c r="BV29" s="544"/>
      <c r="BW29" s="544"/>
      <c r="BX29" s="544"/>
      <c r="BY29" s="544"/>
      <c r="BZ29" s="544"/>
      <c r="CA29" s="544"/>
      <c r="CB29" s="544"/>
      <c r="CC29" s="544"/>
      <c r="CD29" s="544"/>
      <c r="CE29" s="544"/>
      <c r="CF29" s="544"/>
      <c r="CG29" s="544"/>
      <c r="CH29" s="544"/>
      <c r="CI29" s="544"/>
      <c r="CJ29" s="544"/>
    </row>
    <row r="30" spans="1:100">
      <c r="A30" s="540" t="s">
        <v>254</v>
      </c>
      <c r="C30" s="551">
        <v>18.100000000000001</v>
      </c>
      <c r="D30" s="553">
        <v>18.5</v>
      </c>
      <c r="E30" s="553">
        <v>18.5</v>
      </c>
      <c r="F30" s="552">
        <v>18.899999999999999</v>
      </c>
      <c r="G30" s="552">
        <v>18.899999999999999</v>
      </c>
      <c r="H30" s="551">
        <v>19.3</v>
      </c>
      <c r="I30" s="551">
        <v>19.7</v>
      </c>
      <c r="J30" s="551">
        <v>20.100000000000001</v>
      </c>
      <c r="K30" s="551">
        <v>20.5</v>
      </c>
      <c r="L30" s="544"/>
      <c r="M30" s="544"/>
      <c r="N30" s="544"/>
      <c r="O30" s="544"/>
      <c r="P30" s="544"/>
      <c r="Q30" s="544"/>
      <c r="R30" s="544"/>
      <c r="S30" s="544"/>
      <c r="T30" s="544"/>
      <c r="U30" s="544"/>
      <c r="V30" s="544"/>
      <c r="W30" s="544"/>
      <c r="X30" s="544"/>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4"/>
      <c r="AY30" s="544"/>
      <c r="AZ30" s="544"/>
      <c r="BA30" s="544"/>
      <c r="BB30" s="544"/>
      <c r="BC30" s="544"/>
      <c r="BD30" s="544"/>
      <c r="BE30" s="544"/>
      <c r="BF30" s="544"/>
      <c r="BG30" s="544"/>
      <c r="BH30" s="544"/>
      <c r="BI30" s="544"/>
      <c r="BJ30" s="544"/>
      <c r="BK30" s="544"/>
      <c r="BL30" s="544"/>
      <c r="BM30" s="544"/>
      <c r="BN30" s="544"/>
      <c r="BO30" s="544"/>
      <c r="BP30" s="544"/>
      <c r="BQ30" s="544"/>
      <c r="BR30" s="544"/>
      <c r="BS30" s="544"/>
      <c r="BT30" s="544"/>
      <c r="BU30" s="544"/>
      <c r="BV30" s="544"/>
      <c r="BW30" s="544"/>
      <c r="BX30" s="544"/>
      <c r="BY30" s="544"/>
      <c r="BZ30" s="544"/>
      <c r="CA30" s="544"/>
      <c r="CB30" s="544"/>
      <c r="CC30" s="544"/>
      <c r="CD30" s="544"/>
      <c r="CE30" s="544"/>
      <c r="CF30" s="544"/>
      <c r="CG30" s="544"/>
      <c r="CH30" s="544"/>
      <c r="CI30" s="544"/>
      <c r="CJ30" s="544"/>
    </row>
    <row r="31" spans="1:100">
      <c r="C31" s="551"/>
      <c r="D31" s="553"/>
      <c r="E31" s="553"/>
      <c r="F31" s="552"/>
      <c r="G31" s="552"/>
      <c r="H31" s="551"/>
      <c r="I31" s="551"/>
      <c r="J31" s="551"/>
      <c r="K31" s="551"/>
      <c r="L31" s="544"/>
      <c r="M31" s="544"/>
      <c r="N31" s="544"/>
      <c r="O31" s="544"/>
      <c r="P31" s="544"/>
      <c r="Q31" s="544"/>
      <c r="R31" s="544"/>
      <c r="S31" s="544"/>
      <c r="T31" s="544"/>
      <c r="U31" s="544"/>
      <c r="V31" s="544"/>
      <c r="W31" s="544"/>
      <c r="X31" s="544"/>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4"/>
      <c r="AY31" s="544"/>
      <c r="AZ31" s="544"/>
      <c r="BA31" s="544"/>
      <c r="BB31" s="544"/>
      <c r="BC31" s="544"/>
      <c r="BD31" s="544"/>
      <c r="BE31" s="544"/>
      <c r="BF31" s="544"/>
      <c r="BG31" s="544"/>
      <c r="BH31" s="544"/>
      <c r="BI31" s="544"/>
      <c r="BJ31" s="544"/>
      <c r="BK31" s="544"/>
      <c r="BL31" s="544"/>
      <c r="BM31" s="544"/>
      <c r="BN31" s="544"/>
      <c r="BO31" s="544"/>
      <c r="BP31" s="544"/>
      <c r="BQ31" s="544"/>
      <c r="BR31" s="544"/>
      <c r="BS31" s="544"/>
      <c r="BT31" s="544"/>
      <c r="BU31" s="544"/>
      <c r="BV31" s="544"/>
      <c r="BW31" s="544"/>
      <c r="BX31" s="544"/>
      <c r="BY31" s="544"/>
      <c r="BZ31" s="544"/>
      <c r="CA31" s="544"/>
      <c r="CB31" s="544"/>
      <c r="CC31" s="544"/>
      <c r="CD31" s="544"/>
      <c r="CE31" s="544"/>
      <c r="CF31" s="544"/>
      <c r="CG31" s="544"/>
      <c r="CH31" s="544"/>
      <c r="CI31" s="544"/>
      <c r="CJ31" s="544"/>
    </row>
    <row r="32" spans="1:100" s="554" customFormat="1">
      <c r="A32" s="554" t="s">
        <v>226</v>
      </c>
      <c r="C32" s="557">
        <v>3123.7</v>
      </c>
      <c r="D32" s="559">
        <v>3329.9</v>
      </c>
      <c r="E32" s="559">
        <v>3038.5</v>
      </c>
      <c r="F32" s="558">
        <v>3345.7</v>
      </c>
      <c r="G32" s="558">
        <v>2695.9</v>
      </c>
      <c r="H32" s="557">
        <v>2765.3</v>
      </c>
      <c r="I32" s="557">
        <v>2901.5</v>
      </c>
      <c r="J32" s="557">
        <v>3118.1</v>
      </c>
      <c r="K32" s="557">
        <v>3424.7</v>
      </c>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6"/>
      <c r="AN32" s="556"/>
      <c r="AO32" s="556"/>
      <c r="AP32" s="556"/>
      <c r="AQ32" s="556"/>
      <c r="AR32" s="556"/>
      <c r="AS32" s="556"/>
      <c r="AT32" s="556"/>
      <c r="AU32" s="556"/>
      <c r="AV32" s="556"/>
      <c r="AW32" s="556"/>
      <c r="AX32" s="556"/>
      <c r="AY32" s="556"/>
      <c r="AZ32" s="556"/>
      <c r="BA32" s="556"/>
      <c r="BB32" s="556"/>
      <c r="BC32" s="556"/>
      <c r="BD32" s="556"/>
      <c r="BE32" s="556"/>
      <c r="BF32" s="556"/>
      <c r="BG32" s="556"/>
      <c r="BH32" s="556"/>
      <c r="BI32" s="556"/>
      <c r="BJ32" s="556"/>
      <c r="BK32" s="556"/>
      <c r="BL32" s="556"/>
      <c r="BM32" s="556"/>
      <c r="BN32" s="556"/>
      <c r="BO32" s="556"/>
      <c r="BP32" s="556"/>
      <c r="BQ32" s="556"/>
      <c r="BR32" s="556"/>
      <c r="BS32" s="556"/>
      <c r="BT32" s="556"/>
      <c r="BU32" s="556"/>
      <c r="BV32" s="556"/>
      <c r="BW32" s="556"/>
      <c r="BX32" s="556"/>
      <c r="BY32" s="556"/>
      <c r="BZ32" s="556"/>
      <c r="CA32" s="556"/>
      <c r="CB32" s="556"/>
      <c r="CC32" s="556"/>
      <c r="CD32" s="556"/>
      <c r="CE32" s="556"/>
      <c r="CF32" s="556"/>
      <c r="CG32" s="556"/>
      <c r="CH32" s="556"/>
      <c r="CI32" s="556"/>
      <c r="CJ32" s="556"/>
      <c r="CV32" s="555"/>
    </row>
    <row r="33" spans="1:100">
      <c r="A33" s="540" t="s">
        <v>227</v>
      </c>
      <c r="C33" s="551">
        <v>782.2</v>
      </c>
      <c r="D33" s="553">
        <v>826</v>
      </c>
      <c r="E33" s="553">
        <v>826</v>
      </c>
      <c r="F33" s="552">
        <v>841.5</v>
      </c>
      <c r="G33" s="552">
        <v>841.5</v>
      </c>
      <c r="H33" s="551">
        <v>866.6</v>
      </c>
      <c r="I33" s="551">
        <v>904.3</v>
      </c>
      <c r="J33" s="551">
        <v>938.8</v>
      </c>
      <c r="K33" s="551">
        <v>980.7</v>
      </c>
      <c r="L33" s="544"/>
      <c r="M33" s="544"/>
      <c r="N33" s="544"/>
      <c r="O33" s="544"/>
      <c r="P33" s="544"/>
      <c r="Q33" s="544"/>
      <c r="R33" s="544"/>
      <c r="S33" s="544"/>
      <c r="T33" s="544"/>
      <c r="U33" s="544"/>
      <c r="V33" s="544"/>
      <c r="W33" s="544"/>
      <c r="X33" s="544"/>
      <c r="Y33" s="544"/>
      <c r="Z33" s="544"/>
      <c r="AA33" s="544"/>
      <c r="AB33" s="544"/>
      <c r="AC33" s="544"/>
      <c r="AD33" s="544"/>
      <c r="AE33" s="544"/>
      <c r="AF33" s="544"/>
      <c r="AG33" s="544"/>
      <c r="AH33" s="544"/>
      <c r="AI33" s="544"/>
      <c r="AJ33" s="544"/>
      <c r="AK33" s="544"/>
      <c r="AL33" s="544"/>
      <c r="AM33" s="544"/>
      <c r="AN33" s="544"/>
      <c r="AO33" s="544"/>
      <c r="AP33" s="544"/>
      <c r="AQ33" s="544"/>
      <c r="AR33" s="544"/>
      <c r="AS33" s="544"/>
      <c r="AT33" s="544"/>
      <c r="AU33" s="544"/>
      <c r="AV33" s="544"/>
      <c r="AW33" s="544"/>
      <c r="AX33" s="544"/>
      <c r="AY33" s="544"/>
      <c r="AZ33" s="544"/>
      <c r="BA33" s="544"/>
      <c r="BB33" s="544"/>
      <c r="BC33" s="544"/>
      <c r="BD33" s="544"/>
      <c r="BE33" s="544"/>
      <c r="BF33" s="544"/>
      <c r="BG33" s="544"/>
      <c r="BH33" s="544"/>
      <c r="BI33" s="544"/>
      <c r="BJ33" s="544"/>
      <c r="BK33" s="544"/>
      <c r="BL33" s="544"/>
      <c r="BM33" s="544"/>
      <c r="BN33" s="544"/>
      <c r="BO33" s="544"/>
      <c r="BP33" s="544"/>
      <c r="BQ33" s="544"/>
      <c r="BR33" s="544"/>
      <c r="BS33" s="544"/>
      <c r="BT33" s="544"/>
      <c r="BU33" s="544"/>
      <c r="BV33" s="544"/>
      <c r="BW33" s="544"/>
      <c r="BX33" s="544"/>
      <c r="BY33" s="544"/>
      <c r="BZ33" s="544"/>
      <c r="CA33" s="544"/>
      <c r="CB33" s="544"/>
      <c r="CC33" s="544"/>
      <c r="CD33" s="544"/>
      <c r="CE33" s="544"/>
      <c r="CF33" s="544"/>
      <c r="CG33" s="544"/>
      <c r="CH33" s="544"/>
      <c r="CI33" s="544"/>
      <c r="CJ33" s="544"/>
    </row>
    <row r="34" spans="1:100">
      <c r="A34" s="540" t="s">
        <v>228</v>
      </c>
      <c r="C34" s="551">
        <v>364.3</v>
      </c>
      <c r="D34" s="553">
        <v>381.1</v>
      </c>
      <c r="E34" s="553">
        <v>381.1</v>
      </c>
      <c r="F34" s="552">
        <v>390.2</v>
      </c>
      <c r="G34" s="552">
        <v>387.1</v>
      </c>
      <c r="H34" s="551">
        <v>398.4</v>
      </c>
      <c r="I34" s="551">
        <v>420.6</v>
      </c>
      <c r="J34" s="551">
        <v>432.3</v>
      </c>
      <c r="K34" s="551">
        <v>454.6</v>
      </c>
      <c r="L34" s="544"/>
      <c r="M34" s="544"/>
      <c r="N34" s="544"/>
      <c r="O34" s="544"/>
      <c r="P34" s="544"/>
      <c r="Q34" s="544"/>
      <c r="R34" s="544"/>
      <c r="S34" s="544"/>
      <c r="T34" s="544"/>
      <c r="U34" s="544"/>
      <c r="V34" s="544"/>
      <c r="W34" s="544"/>
      <c r="X34" s="544"/>
      <c r="Y34" s="544"/>
      <c r="Z34" s="544"/>
      <c r="AA34" s="544"/>
      <c r="AB34" s="544"/>
      <c r="AC34" s="544"/>
      <c r="AD34" s="544"/>
      <c r="AE34" s="544"/>
      <c r="AF34" s="544"/>
      <c r="AG34" s="544"/>
      <c r="AH34" s="544"/>
      <c r="AI34" s="544"/>
      <c r="AJ34" s="544"/>
      <c r="AK34" s="544"/>
      <c r="AL34" s="544"/>
      <c r="AM34" s="544"/>
      <c r="AN34" s="544"/>
      <c r="AO34" s="544"/>
      <c r="AP34" s="544"/>
      <c r="AQ34" s="544"/>
      <c r="AR34" s="544"/>
      <c r="AS34" s="544"/>
      <c r="AT34" s="544"/>
      <c r="AU34" s="544"/>
      <c r="AV34" s="544"/>
      <c r="AW34" s="544"/>
      <c r="AX34" s="544"/>
      <c r="AY34" s="544"/>
      <c r="AZ34" s="544"/>
      <c r="BA34" s="544"/>
      <c r="BB34" s="544"/>
      <c r="BC34" s="544"/>
      <c r="BD34" s="544"/>
      <c r="BE34" s="544"/>
      <c r="BF34" s="544"/>
      <c r="BG34" s="544"/>
      <c r="BH34" s="544"/>
      <c r="BI34" s="544"/>
      <c r="BJ34" s="544"/>
      <c r="BK34" s="544"/>
      <c r="BL34" s="544"/>
      <c r="BM34" s="544"/>
      <c r="BN34" s="544"/>
      <c r="BO34" s="544"/>
      <c r="BP34" s="544"/>
      <c r="BQ34" s="544"/>
      <c r="BR34" s="544"/>
      <c r="BS34" s="544"/>
      <c r="BT34" s="544"/>
      <c r="BU34" s="544"/>
      <c r="BV34" s="544"/>
      <c r="BW34" s="544"/>
      <c r="BX34" s="544"/>
      <c r="BY34" s="544"/>
      <c r="BZ34" s="544"/>
      <c r="CA34" s="544"/>
      <c r="CB34" s="544"/>
      <c r="CC34" s="544"/>
      <c r="CD34" s="544"/>
      <c r="CE34" s="544"/>
      <c r="CF34" s="544"/>
      <c r="CG34" s="544"/>
      <c r="CH34" s="544"/>
      <c r="CI34" s="544"/>
      <c r="CJ34" s="544"/>
    </row>
    <row r="35" spans="1:100">
      <c r="A35" s="540" t="s">
        <v>229</v>
      </c>
      <c r="C35" s="551">
        <v>764.7</v>
      </c>
      <c r="D35" s="553">
        <v>774.1</v>
      </c>
      <c r="E35" s="553">
        <v>564.5</v>
      </c>
      <c r="F35" s="552">
        <v>731.7</v>
      </c>
      <c r="G35" s="552">
        <v>267.10000000000002</v>
      </c>
      <c r="H35" s="551">
        <v>265</v>
      </c>
      <c r="I35" s="551">
        <v>293.3</v>
      </c>
      <c r="J35" s="551">
        <v>408</v>
      </c>
      <c r="K35" s="551">
        <v>602.29999999999995</v>
      </c>
      <c r="L35" s="544"/>
      <c r="M35" s="544"/>
      <c r="N35" s="544"/>
      <c r="O35" s="544"/>
      <c r="P35" s="544"/>
      <c r="Q35" s="544"/>
      <c r="R35" s="544"/>
      <c r="S35" s="544"/>
      <c r="T35" s="544"/>
      <c r="U35" s="544"/>
      <c r="V35" s="544"/>
      <c r="W35" s="544"/>
      <c r="X35" s="544"/>
      <c r="Y35" s="544"/>
      <c r="Z35" s="544"/>
      <c r="AA35" s="544"/>
      <c r="AB35" s="544"/>
      <c r="AC35" s="544"/>
      <c r="AD35" s="544"/>
      <c r="AE35" s="544"/>
      <c r="AF35" s="544"/>
      <c r="AG35" s="544"/>
      <c r="AH35" s="544"/>
      <c r="AI35" s="544"/>
      <c r="AJ35" s="544"/>
      <c r="AK35" s="544"/>
      <c r="AL35" s="544"/>
      <c r="AM35" s="544"/>
      <c r="AN35" s="544"/>
      <c r="AO35" s="544"/>
      <c r="AP35" s="544"/>
      <c r="AQ35" s="544"/>
      <c r="AR35" s="544"/>
      <c r="AS35" s="544"/>
      <c r="AT35" s="544"/>
      <c r="AU35" s="544"/>
      <c r="AV35" s="544"/>
      <c r="AW35" s="544"/>
      <c r="AX35" s="544"/>
      <c r="AY35" s="544"/>
      <c r="AZ35" s="544"/>
      <c r="BA35" s="544"/>
      <c r="BB35" s="544"/>
      <c r="BC35" s="544"/>
      <c r="BD35" s="544"/>
      <c r="BE35" s="544"/>
      <c r="BF35" s="544"/>
      <c r="BG35" s="544"/>
      <c r="BH35" s="544"/>
      <c r="BI35" s="544"/>
      <c r="BJ35" s="544"/>
      <c r="BK35" s="544"/>
      <c r="BL35" s="544"/>
      <c r="BM35" s="544"/>
      <c r="BN35" s="544"/>
      <c r="BO35" s="544"/>
      <c r="BP35" s="544"/>
      <c r="BQ35" s="544"/>
      <c r="BR35" s="544"/>
      <c r="BS35" s="544"/>
      <c r="BT35" s="544"/>
      <c r="BU35" s="544"/>
      <c r="BV35" s="544"/>
      <c r="BW35" s="544"/>
      <c r="BX35" s="544"/>
      <c r="BY35" s="544"/>
      <c r="BZ35" s="544"/>
      <c r="CA35" s="544"/>
      <c r="CB35" s="544"/>
      <c r="CC35" s="544"/>
      <c r="CD35" s="544"/>
      <c r="CE35" s="544"/>
      <c r="CF35" s="544"/>
      <c r="CG35" s="544"/>
      <c r="CH35" s="544"/>
      <c r="CI35" s="544"/>
      <c r="CJ35" s="544"/>
    </row>
    <row r="36" spans="1:100">
      <c r="A36" s="540" t="s">
        <v>255</v>
      </c>
      <c r="C36" s="551">
        <v>168</v>
      </c>
      <c r="D36" s="553">
        <v>151.5</v>
      </c>
      <c r="E36" s="553">
        <v>67.3</v>
      </c>
      <c r="F36" s="552">
        <v>104.1</v>
      </c>
      <c r="G36" s="552">
        <v>127.9</v>
      </c>
      <c r="H36" s="551">
        <v>135.30000000000001</v>
      </c>
      <c r="I36" s="551">
        <v>165.2</v>
      </c>
      <c r="J36" s="551">
        <v>201.8</v>
      </c>
      <c r="K36" s="551">
        <v>247.1</v>
      </c>
      <c r="L36" s="544"/>
      <c r="M36" s="544"/>
      <c r="N36" s="544"/>
      <c r="O36" s="544"/>
      <c r="P36" s="544"/>
      <c r="Q36" s="544"/>
      <c r="R36" s="544"/>
      <c r="S36" s="544"/>
      <c r="T36" s="544"/>
      <c r="U36" s="544"/>
      <c r="V36" s="544"/>
      <c r="W36" s="544"/>
      <c r="X36" s="544"/>
      <c r="Y36" s="544"/>
      <c r="Z36" s="544"/>
      <c r="AA36" s="544"/>
      <c r="AB36" s="544"/>
      <c r="AC36" s="544"/>
      <c r="AD36" s="544"/>
      <c r="AE36" s="544"/>
      <c r="AF36" s="544"/>
      <c r="AG36" s="544"/>
      <c r="AH36" s="544"/>
      <c r="AI36" s="544"/>
      <c r="AJ36" s="544"/>
      <c r="AK36" s="544"/>
      <c r="AL36" s="544"/>
      <c r="AM36" s="544"/>
      <c r="AN36" s="544"/>
      <c r="AO36" s="544"/>
      <c r="AP36" s="544"/>
      <c r="AQ36" s="544"/>
      <c r="AR36" s="544"/>
      <c r="AS36" s="544"/>
      <c r="AT36" s="544"/>
      <c r="AU36" s="544"/>
      <c r="AV36" s="544"/>
      <c r="AW36" s="544"/>
      <c r="AX36" s="544"/>
      <c r="AY36" s="544"/>
      <c r="AZ36" s="544"/>
      <c r="BA36" s="544"/>
      <c r="BB36" s="544"/>
      <c r="BC36" s="544"/>
      <c r="BD36" s="544"/>
      <c r="BE36" s="544"/>
      <c r="BF36" s="544"/>
      <c r="BG36" s="544"/>
      <c r="BH36" s="544"/>
      <c r="BI36" s="544"/>
      <c r="BJ36" s="544"/>
      <c r="BK36" s="544"/>
      <c r="BL36" s="544"/>
      <c r="BM36" s="544"/>
      <c r="BN36" s="544"/>
      <c r="BO36" s="544"/>
      <c r="BP36" s="544"/>
      <c r="BQ36" s="544"/>
      <c r="BR36" s="544"/>
      <c r="BS36" s="544"/>
      <c r="BT36" s="544"/>
      <c r="BU36" s="544"/>
      <c r="BV36" s="544"/>
      <c r="BW36" s="544"/>
      <c r="BX36" s="544"/>
      <c r="BY36" s="544"/>
      <c r="BZ36" s="544"/>
      <c r="CA36" s="544"/>
      <c r="CB36" s="544"/>
      <c r="CC36" s="544"/>
      <c r="CD36" s="544"/>
      <c r="CE36" s="544"/>
      <c r="CF36" s="544"/>
      <c r="CG36" s="544"/>
      <c r="CH36" s="544"/>
      <c r="CI36" s="544"/>
      <c r="CJ36" s="544"/>
    </row>
    <row r="37" spans="1:100">
      <c r="A37" s="540" t="s">
        <v>256</v>
      </c>
      <c r="C37" s="551">
        <v>596.70000000000005</v>
      </c>
      <c r="D37" s="553">
        <v>622.6</v>
      </c>
      <c r="E37" s="553">
        <v>497.1</v>
      </c>
      <c r="F37" s="552">
        <v>627.6</v>
      </c>
      <c r="G37" s="552">
        <v>139.19999999999999</v>
      </c>
      <c r="H37" s="551">
        <v>129.69999999999999</v>
      </c>
      <c r="I37" s="551">
        <v>128.1</v>
      </c>
      <c r="J37" s="551">
        <v>206.2</v>
      </c>
      <c r="K37" s="551">
        <v>355.2</v>
      </c>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4"/>
      <c r="AV37" s="544"/>
      <c r="AW37" s="544"/>
      <c r="AX37" s="544"/>
      <c r="AY37" s="544"/>
      <c r="AZ37" s="544"/>
      <c r="BA37" s="544"/>
      <c r="BB37" s="544"/>
      <c r="BC37" s="544"/>
      <c r="BD37" s="544"/>
      <c r="BE37" s="544"/>
      <c r="BF37" s="544"/>
      <c r="BG37" s="544"/>
      <c r="BH37" s="544"/>
      <c r="BI37" s="544"/>
      <c r="BJ37" s="544"/>
      <c r="BK37" s="544"/>
      <c r="BL37" s="544"/>
      <c r="BM37" s="544"/>
      <c r="BN37" s="544"/>
      <c r="BO37" s="544"/>
      <c r="BP37" s="544"/>
      <c r="BQ37" s="544"/>
      <c r="BR37" s="544"/>
      <c r="BS37" s="544"/>
      <c r="BT37" s="544"/>
      <c r="BU37" s="544"/>
      <c r="BV37" s="544"/>
      <c r="BW37" s="544"/>
      <c r="BX37" s="544"/>
      <c r="BY37" s="544"/>
      <c r="BZ37" s="544"/>
      <c r="CA37" s="544"/>
      <c r="CB37" s="544"/>
      <c r="CC37" s="544"/>
      <c r="CD37" s="544"/>
      <c r="CE37" s="544"/>
      <c r="CF37" s="544"/>
      <c r="CG37" s="544"/>
      <c r="CH37" s="544"/>
      <c r="CI37" s="544"/>
      <c r="CJ37" s="544"/>
    </row>
    <row r="38" spans="1:100">
      <c r="A38" s="540" t="s">
        <v>230</v>
      </c>
      <c r="C38" s="551">
        <v>1212.5</v>
      </c>
      <c r="D38" s="553">
        <v>1348.7</v>
      </c>
      <c r="E38" s="553">
        <v>1266.9000000000001</v>
      </c>
      <c r="F38" s="552">
        <v>1382.3</v>
      </c>
      <c r="G38" s="552">
        <v>1200.2</v>
      </c>
      <c r="H38" s="551">
        <v>1235.3</v>
      </c>
      <c r="I38" s="551">
        <v>1283.3</v>
      </c>
      <c r="J38" s="551">
        <v>1339</v>
      </c>
      <c r="K38" s="551">
        <v>1387</v>
      </c>
      <c r="L38" s="544"/>
      <c r="M38" s="544"/>
      <c r="N38" s="544"/>
      <c r="O38" s="544"/>
      <c r="P38" s="544"/>
      <c r="Q38" s="544"/>
      <c r="R38" s="544"/>
      <c r="S38" s="544"/>
      <c r="T38" s="544"/>
      <c r="U38" s="544"/>
      <c r="V38" s="544"/>
      <c r="W38" s="544"/>
      <c r="X38" s="544"/>
      <c r="Y38" s="544"/>
      <c r="Z38" s="544"/>
      <c r="AA38" s="544"/>
      <c r="AB38" s="544"/>
      <c r="AC38" s="544"/>
      <c r="AD38" s="544"/>
      <c r="AE38" s="544"/>
      <c r="AF38" s="544"/>
      <c r="AG38" s="544"/>
      <c r="AH38" s="544"/>
      <c r="AI38" s="544"/>
      <c r="AJ38" s="544"/>
      <c r="AK38" s="544"/>
      <c r="AL38" s="544"/>
      <c r="AM38" s="544"/>
      <c r="AN38" s="544"/>
      <c r="AO38" s="544"/>
      <c r="AP38" s="544"/>
      <c r="AQ38" s="544"/>
      <c r="AR38" s="544"/>
      <c r="AS38" s="544"/>
      <c r="AT38" s="544"/>
      <c r="AU38" s="544"/>
      <c r="AV38" s="544"/>
      <c r="AW38" s="544"/>
      <c r="AX38" s="544"/>
      <c r="AY38" s="544"/>
      <c r="AZ38" s="544"/>
      <c r="BA38" s="544"/>
      <c r="BB38" s="544"/>
      <c r="BC38" s="544"/>
      <c r="BD38" s="544"/>
      <c r="BE38" s="544"/>
      <c r="BF38" s="544"/>
      <c r="BG38" s="544"/>
      <c r="BH38" s="544"/>
      <c r="BI38" s="544"/>
      <c r="BJ38" s="544"/>
      <c r="BK38" s="544"/>
      <c r="BL38" s="544"/>
      <c r="BM38" s="544"/>
      <c r="BN38" s="544"/>
      <c r="BO38" s="544"/>
      <c r="BP38" s="544"/>
      <c r="BQ38" s="544"/>
      <c r="BR38" s="544"/>
      <c r="BS38" s="544"/>
      <c r="BT38" s="544"/>
      <c r="BU38" s="544"/>
      <c r="BV38" s="544"/>
      <c r="BW38" s="544"/>
      <c r="BX38" s="544"/>
      <c r="BY38" s="544"/>
      <c r="BZ38" s="544"/>
      <c r="CA38" s="544"/>
      <c r="CB38" s="544"/>
      <c r="CC38" s="544"/>
      <c r="CD38" s="544"/>
      <c r="CE38" s="544"/>
      <c r="CF38" s="544"/>
      <c r="CG38" s="544"/>
      <c r="CH38" s="544"/>
      <c r="CI38" s="544"/>
      <c r="CJ38" s="544"/>
    </row>
    <row r="39" spans="1:100">
      <c r="A39" s="562" t="s">
        <v>257</v>
      </c>
      <c r="C39" s="551">
        <v>358.2</v>
      </c>
      <c r="D39" s="553">
        <v>381.3</v>
      </c>
      <c r="E39" s="553">
        <v>381.3</v>
      </c>
      <c r="F39" s="552">
        <v>390.3</v>
      </c>
      <c r="G39" s="552">
        <v>390.3</v>
      </c>
      <c r="H39" s="551">
        <v>401.7</v>
      </c>
      <c r="I39" s="551">
        <v>414.1</v>
      </c>
      <c r="J39" s="551">
        <v>435.6</v>
      </c>
      <c r="K39" s="551">
        <v>448.1</v>
      </c>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4"/>
      <c r="AJ39" s="544"/>
      <c r="AK39" s="544"/>
      <c r="AL39" s="544"/>
      <c r="AM39" s="544"/>
      <c r="AN39" s="544"/>
      <c r="AO39" s="544"/>
      <c r="AP39" s="544"/>
      <c r="AQ39" s="544"/>
      <c r="AR39" s="544"/>
      <c r="AS39" s="544"/>
      <c r="AT39" s="544"/>
      <c r="AU39" s="544"/>
      <c r="AV39" s="544"/>
      <c r="AW39" s="544"/>
      <c r="AX39" s="544"/>
      <c r="AY39" s="544"/>
      <c r="AZ39" s="544"/>
      <c r="BA39" s="544"/>
      <c r="BB39" s="544"/>
      <c r="BC39" s="544"/>
      <c r="BD39" s="544"/>
      <c r="BE39" s="544"/>
      <c r="BF39" s="544"/>
      <c r="BG39" s="544"/>
      <c r="BH39" s="544"/>
      <c r="BI39" s="544"/>
      <c r="BJ39" s="544"/>
      <c r="BK39" s="544"/>
      <c r="BL39" s="544"/>
      <c r="BM39" s="544"/>
      <c r="BN39" s="544"/>
      <c r="BO39" s="544"/>
      <c r="BP39" s="544"/>
      <c r="BQ39" s="544"/>
      <c r="BR39" s="544"/>
      <c r="BS39" s="544"/>
      <c r="BT39" s="544"/>
      <c r="BU39" s="544"/>
      <c r="BV39" s="544"/>
      <c r="BW39" s="544"/>
      <c r="BX39" s="544"/>
      <c r="BY39" s="544"/>
      <c r="BZ39" s="544"/>
      <c r="CA39" s="544"/>
      <c r="CB39" s="544"/>
      <c r="CC39" s="544"/>
      <c r="CD39" s="544"/>
      <c r="CE39" s="544"/>
      <c r="CF39" s="544"/>
      <c r="CG39" s="544"/>
      <c r="CH39" s="544"/>
      <c r="CI39" s="544"/>
      <c r="CJ39" s="544"/>
    </row>
    <row r="40" spans="1:100">
      <c r="A40" s="562" t="s">
        <v>258</v>
      </c>
      <c r="C40" s="551">
        <v>761.2</v>
      </c>
      <c r="D40" s="553">
        <v>864.4</v>
      </c>
      <c r="E40" s="553">
        <v>790.1</v>
      </c>
      <c r="F40" s="552">
        <v>886</v>
      </c>
      <c r="G40" s="552">
        <v>714.1</v>
      </c>
      <c r="H40" s="551">
        <v>735</v>
      </c>
      <c r="I40" s="551">
        <v>767.6</v>
      </c>
      <c r="J40" s="551">
        <v>798.9</v>
      </c>
      <c r="K40" s="551">
        <v>831.6</v>
      </c>
      <c r="L40" s="544"/>
      <c r="M40" s="544"/>
      <c r="N40" s="544"/>
      <c r="O40" s="544"/>
      <c r="P40" s="544"/>
      <c r="Q40" s="544"/>
      <c r="R40" s="544"/>
      <c r="S40" s="544"/>
      <c r="T40" s="544"/>
      <c r="U40" s="544"/>
      <c r="V40" s="544"/>
      <c r="W40" s="544"/>
      <c r="X40" s="544"/>
      <c r="Y40" s="544"/>
      <c r="Z40" s="544"/>
      <c r="AA40" s="544"/>
      <c r="AB40" s="544"/>
      <c r="AC40" s="544"/>
      <c r="AD40" s="544"/>
      <c r="AE40" s="544"/>
      <c r="AF40" s="544"/>
      <c r="AG40" s="544"/>
      <c r="AH40" s="544"/>
      <c r="AI40" s="544"/>
      <c r="AJ40" s="544"/>
      <c r="AK40" s="544"/>
      <c r="AL40" s="544"/>
      <c r="AM40" s="544"/>
      <c r="AN40" s="544"/>
      <c r="AO40" s="544"/>
      <c r="AP40" s="544"/>
      <c r="AQ40" s="544"/>
      <c r="AR40" s="544"/>
      <c r="AS40" s="544"/>
      <c r="AT40" s="544"/>
      <c r="AU40" s="544"/>
      <c r="AV40" s="544"/>
      <c r="AW40" s="544"/>
      <c r="AX40" s="544"/>
      <c r="AY40" s="544"/>
      <c r="AZ40" s="544"/>
      <c r="BA40" s="544"/>
      <c r="BB40" s="544"/>
      <c r="BC40" s="544"/>
      <c r="BD40" s="544"/>
      <c r="BE40" s="544"/>
      <c r="BF40" s="544"/>
      <c r="BG40" s="544"/>
      <c r="BH40" s="544"/>
      <c r="BI40" s="544"/>
      <c r="BJ40" s="544"/>
      <c r="BK40" s="544"/>
      <c r="BL40" s="544"/>
      <c r="BM40" s="544"/>
      <c r="BN40" s="544"/>
      <c r="BO40" s="544"/>
      <c r="BP40" s="544"/>
      <c r="BQ40" s="544"/>
      <c r="BR40" s="544"/>
      <c r="BS40" s="544"/>
      <c r="BT40" s="544"/>
      <c r="BU40" s="544"/>
      <c r="BV40" s="544"/>
      <c r="BW40" s="544"/>
      <c r="BX40" s="544"/>
      <c r="BY40" s="544"/>
      <c r="BZ40" s="544"/>
      <c r="CA40" s="544"/>
      <c r="CB40" s="544"/>
      <c r="CC40" s="544"/>
      <c r="CD40" s="544"/>
      <c r="CE40" s="544"/>
      <c r="CF40" s="544"/>
      <c r="CG40" s="544"/>
      <c r="CH40" s="544"/>
      <c r="CI40" s="544"/>
      <c r="CJ40" s="544"/>
    </row>
    <row r="41" spans="1:100">
      <c r="A41" s="562" t="s">
        <v>259</v>
      </c>
      <c r="C41" s="551">
        <v>51.9</v>
      </c>
      <c r="D41" s="553">
        <v>60.1</v>
      </c>
      <c r="E41" s="553">
        <v>52.6</v>
      </c>
      <c r="F41" s="552">
        <v>61.8</v>
      </c>
      <c r="G41" s="552">
        <v>51.6</v>
      </c>
      <c r="H41" s="551">
        <v>53.2</v>
      </c>
      <c r="I41" s="551">
        <v>54.8</v>
      </c>
      <c r="J41" s="551">
        <v>56.3</v>
      </c>
      <c r="K41" s="551">
        <v>57.9</v>
      </c>
      <c r="L41" s="544"/>
      <c r="M41" s="544"/>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4"/>
      <c r="AK41" s="544"/>
      <c r="AL41" s="544"/>
      <c r="AM41" s="544"/>
      <c r="AN41" s="544"/>
      <c r="AO41" s="544"/>
      <c r="AP41" s="544"/>
      <c r="AQ41" s="544"/>
      <c r="AR41" s="544"/>
      <c r="AS41" s="544"/>
      <c r="AT41" s="544"/>
      <c r="AU41" s="544"/>
      <c r="AV41" s="544"/>
      <c r="AW41" s="544"/>
      <c r="AX41" s="544"/>
      <c r="AY41" s="544"/>
      <c r="AZ41" s="544"/>
      <c r="BA41" s="544"/>
      <c r="BB41" s="544"/>
      <c r="BC41" s="544"/>
      <c r="BD41" s="544"/>
      <c r="BE41" s="544"/>
      <c r="BF41" s="544"/>
      <c r="BG41" s="544"/>
      <c r="BH41" s="544"/>
      <c r="BI41" s="544"/>
      <c r="BJ41" s="544"/>
      <c r="BK41" s="544"/>
      <c r="BL41" s="544"/>
      <c r="BM41" s="544"/>
      <c r="BN41" s="544"/>
      <c r="BO41" s="544"/>
      <c r="BP41" s="544"/>
      <c r="BQ41" s="544"/>
      <c r="BR41" s="544"/>
      <c r="BS41" s="544"/>
      <c r="BT41" s="544"/>
      <c r="BU41" s="544"/>
      <c r="BV41" s="544"/>
      <c r="BW41" s="544"/>
      <c r="BX41" s="544"/>
      <c r="BY41" s="544"/>
      <c r="BZ41" s="544"/>
      <c r="CA41" s="544"/>
      <c r="CB41" s="544"/>
      <c r="CC41" s="544"/>
      <c r="CD41" s="544"/>
      <c r="CE41" s="544"/>
      <c r="CF41" s="544"/>
      <c r="CG41" s="544"/>
      <c r="CH41" s="544"/>
      <c r="CI41" s="544"/>
      <c r="CJ41" s="544"/>
    </row>
    <row r="42" spans="1:100">
      <c r="A42" s="562" t="s">
        <v>260</v>
      </c>
      <c r="C42" s="551">
        <v>22.2</v>
      </c>
      <c r="D42" s="553">
        <v>23.1</v>
      </c>
      <c r="E42" s="553">
        <v>23.1</v>
      </c>
      <c r="F42" s="552">
        <v>23.7</v>
      </c>
      <c r="G42" s="552">
        <v>23.7</v>
      </c>
      <c r="H42" s="551">
        <v>24.4</v>
      </c>
      <c r="I42" s="551">
        <v>25.2</v>
      </c>
      <c r="J42" s="551">
        <v>25.9</v>
      </c>
      <c r="K42" s="551">
        <v>26.6</v>
      </c>
      <c r="L42" s="544"/>
      <c r="M42" s="544"/>
      <c r="N42" s="544"/>
      <c r="O42" s="544"/>
      <c r="P42" s="544"/>
      <c r="Q42" s="544"/>
      <c r="R42" s="544"/>
      <c r="S42" s="544"/>
      <c r="T42" s="544"/>
      <c r="U42" s="544"/>
      <c r="V42" s="544"/>
      <c r="W42" s="544"/>
      <c r="X42" s="544"/>
      <c r="Y42" s="544"/>
      <c r="Z42" s="544"/>
      <c r="AA42" s="544"/>
      <c r="AB42" s="544"/>
      <c r="AC42" s="544"/>
      <c r="AD42" s="544"/>
      <c r="AE42" s="544"/>
      <c r="AF42" s="544"/>
      <c r="AG42" s="544"/>
      <c r="AH42" s="544"/>
      <c r="AI42" s="544"/>
      <c r="AJ42" s="544"/>
      <c r="AK42" s="544"/>
      <c r="AL42" s="544"/>
      <c r="AM42" s="544"/>
      <c r="AN42" s="544"/>
      <c r="AO42" s="544"/>
      <c r="AP42" s="544"/>
      <c r="AQ42" s="544"/>
      <c r="AR42" s="544"/>
      <c r="AS42" s="544"/>
      <c r="AT42" s="544"/>
      <c r="AU42" s="544"/>
      <c r="AV42" s="544"/>
      <c r="AW42" s="544"/>
      <c r="AX42" s="544"/>
      <c r="AY42" s="544"/>
      <c r="AZ42" s="544"/>
      <c r="BA42" s="544"/>
      <c r="BB42" s="544"/>
      <c r="BC42" s="544"/>
      <c r="BD42" s="544"/>
      <c r="BE42" s="544"/>
      <c r="BF42" s="544"/>
      <c r="BG42" s="544"/>
      <c r="BH42" s="544"/>
      <c r="BI42" s="544"/>
      <c r="BJ42" s="544"/>
      <c r="BK42" s="544"/>
      <c r="BL42" s="544"/>
      <c r="BM42" s="544"/>
      <c r="BN42" s="544"/>
      <c r="BO42" s="544"/>
      <c r="BP42" s="544"/>
      <c r="BQ42" s="544"/>
      <c r="BR42" s="544"/>
      <c r="BS42" s="544"/>
      <c r="BT42" s="544"/>
      <c r="BU42" s="544"/>
      <c r="BV42" s="544"/>
      <c r="BW42" s="544"/>
      <c r="BX42" s="544"/>
      <c r="BY42" s="544"/>
      <c r="BZ42" s="544"/>
      <c r="CA42" s="544"/>
      <c r="CB42" s="544"/>
      <c r="CC42" s="544"/>
      <c r="CD42" s="544"/>
      <c r="CE42" s="544"/>
      <c r="CF42" s="544"/>
      <c r="CG42" s="544"/>
      <c r="CH42" s="544"/>
      <c r="CI42" s="544"/>
      <c r="CJ42" s="544"/>
    </row>
    <row r="43" spans="1:100">
      <c r="A43" s="562" t="s">
        <v>261</v>
      </c>
      <c r="C43" s="551">
        <v>19</v>
      </c>
      <c r="D43" s="553">
        <v>19.899999999999999</v>
      </c>
      <c r="E43" s="553">
        <v>19.899999999999999</v>
      </c>
      <c r="F43" s="552">
        <v>20.399999999999999</v>
      </c>
      <c r="G43" s="552">
        <v>20.399999999999999</v>
      </c>
      <c r="H43" s="551">
        <v>21</v>
      </c>
      <c r="I43" s="551">
        <v>21.6</v>
      </c>
      <c r="J43" s="551">
        <v>22.2</v>
      </c>
      <c r="K43" s="551">
        <v>22.9</v>
      </c>
      <c r="L43" s="544"/>
      <c r="M43" s="544"/>
      <c r="N43" s="544"/>
      <c r="O43" s="544"/>
      <c r="P43" s="544"/>
      <c r="Q43" s="544"/>
      <c r="R43" s="544"/>
      <c r="S43" s="544"/>
      <c r="T43" s="544"/>
      <c r="U43" s="544"/>
      <c r="V43" s="544"/>
      <c r="W43" s="544"/>
      <c r="X43" s="544"/>
      <c r="Y43" s="544"/>
      <c r="Z43" s="544"/>
      <c r="AA43" s="544"/>
      <c r="AB43" s="544"/>
      <c r="AC43" s="544"/>
      <c r="AD43" s="544"/>
      <c r="AE43" s="544"/>
      <c r="AF43" s="544"/>
      <c r="AG43" s="544"/>
      <c r="AH43" s="544"/>
      <c r="AI43" s="544"/>
      <c r="AJ43" s="544"/>
      <c r="AK43" s="544"/>
      <c r="AL43" s="544"/>
      <c r="AM43" s="544"/>
      <c r="AN43" s="544"/>
      <c r="AO43" s="544"/>
      <c r="AP43" s="544"/>
      <c r="AQ43" s="544"/>
      <c r="AR43" s="544"/>
      <c r="AS43" s="544"/>
      <c r="AT43" s="544"/>
      <c r="AU43" s="544"/>
      <c r="AV43" s="544"/>
      <c r="AW43" s="544"/>
      <c r="AX43" s="544"/>
      <c r="AY43" s="544"/>
      <c r="AZ43" s="544"/>
      <c r="BA43" s="544"/>
      <c r="BB43" s="544"/>
      <c r="BC43" s="544"/>
      <c r="BD43" s="544"/>
      <c r="BE43" s="544"/>
      <c r="BF43" s="544"/>
      <c r="BG43" s="544"/>
      <c r="BH43" s="544"/>
      <c r="BI43" s="544"/>
      <c r="BJ43" s="544"/>
      <c r="BK43" s="544"/>
      <c r="BL43" s="544"/>
      <c r="BM43" s="544"/>
      <c r="BN43" s="544"/>
      <c r="BO43" s="544"/>
      <c r="BP43" s="544"/>
      <c r="BQ43" s="544"/>
      <c r="BR43" s="544"/>
      <c r="BS43" s="544"/>
      <c r="BT43" s="544"/>
      <c r="BU43" s="544"/>
      <c r="BV43" s="544"/>
      <c r="BW43" s="544"/>
      <c r="BX43" s="544"/>
      <c r="BY43" s="544"/>
      <c r="BZ43" s="544"/>
      <c r="CA43" s="544"/>
      <c r="CB43" s="544"/>
      <c r="CC43" s="544"/>
      <c r="CD43" s="544"/>
      <c r="CE43" s="544"/>
      <c r="CF43" s="544"/>
      <c r="CG43" s="544"/>
      <c r="CH43" s="544"/>
      <c r="CI43" s="544"/>
      <c r="CJ43" s="544"/>
    </row>
    <row r="44" spans="1:100">
      <c r="C44" s="551"/>
      <c r="D44" s="553"/>
      <c r="E44" s="553"/>
      <c r="F44" s="552"/>
      <c r="G44" s="552"/>
      <c r="H44" s="551"/>
      <c r="I44" s="551"/>
      <c r="J44" s="551"/>
      <c r="K44" s="551"/>
      <c r="L44" s="544"/>
      <c r="M44" s="544"/>
      <c r="N44" s="544"/>
      <c r="O44" s="544"/>
      <c r="P44" s="544"/>
      <c r="Q44" s="544"/>
      <c r="R44" s="544"/>
      <c r="S44" s="544"/>
      <c r="T44" s="544"/>
      <c r="U44" s="544"/>
      <c r="V44" s="544"/>
      <c r="W44" s="544"/>
      <c r="X44" s="544"/>
      <c r="Y44" s="544"/>
      <c r="Z44" s="544"/>
      <c r="AA44" s="544"/>
      <c r="AB44" s="544"/>
      <c r="AC44" s="544"/>
      <c r="AD44" s="544"/>
      <c r="AE44" s="544"/>
      <c r="AF44" s="544"/>
      <c r="AG44" s="544"/>
      <c r="AH44" s="544"/>
      <c r="AI44" s="544"/>
      <c r="AJ44" s="544"/>
      <c r="AK44" s="544"/>
      <c r="AL44" s="544"/>
      <c r="AM44" s="544"/>
      <c r="AN44" s="544"/>
      <c r="AO44" s="544"/>
      <c r="AP44" s="544"/>
      <c r="AQ44" s="544"/>
      <c r="AR44" s="544"/>
      <c r="AS44" s="544"/>
      <c r="AT44" s="544"/>
      <c r="AU44" s="544"/>
      <c r="AV44" s="544"/>
      <c r="AW44" s="544"/>
      <c r="AX44" s="544"/>
      <c r="AY44" s="544"/>
      <c r="AZ44" s="544"/>
      <c r="BA44" s="544"/>
      <c r="BB44" s="544"/>
      <c r="BC44" s="544"/>
      <c r="BD44" s="544"/>
      <c r="BE44" s="544"/>
      <c r="BF44" s="544"/>
      <c r="BG44" s="544"/>
      <c r="BH44" s="544"/>
      <c r="BI44" s="544"/>
      <c r="BJ44" s="544"/>
      <c r="BK44" s="544"/>
      <c r="BL44" s="544"/>
      <c r="BM44" s="544"/>
      <c r="BN44" s="544"/>
      <c r="BO44" s="544"/>
      <c r="BP44" s="544"/>
      <c r="BQ44" s="544"/>
      <c r="BR44" s="544"/>
      <c r="BS44" s="544"/>
      <c r="BT44" s="544"/>
      <c r="BU44" s="544"/>
      <c r="BV44" s="544"/>
      <c r="BW44" s="544"/>
      <c r="BX44" s="544"/>
      <c r="BY44" s="544"/>
      <c r="BZ44" s="544"/>
      <c r="CA44" s="544"/>
      <c r="CB44" s="544"/>
      <c r="CC44" s="544"/>
      <c r="CD44" s="544"/>
      <c r="CE44" s="544"/>
      <c r="CF44" s="544"/>
      <c r="CG44" s="544"/>
      <c r="CH44" s="544"/>
      <c r="CI44" s="544"/>
      <c r="CJ44" s="544"/>
    </row>
    <row r="45" spans="1:100">
      <c r="A45" s="540" t="s">
        <v>231</v>
      </c>
      <c r="C45" s="551">
        <v>171.8</v>
      </c>
      <c r="D45" s="553">
        <v>305.5</v>
      </c>
      <c r="E45" s="553">
        <v>280.39999999999998</v>
      </c>
      <c r="F45" s="552">
        <v>293</v>
      </c>
      <c r="G45" s="552">
        <v>278.89999999999998</v>
      </c>
      <c r="H45" s="551">
        <v>316</v>
      </c>
      <c r="I45" s="551">
        <v>326</v>
      </c>
      <c r="J45" s="551">
        <v>342</v>
      </c>
      <c r="K45" s="551">
        <v>340.2</v>
      </c>
      <c r="L45" s="544"/>
      <c r="M45" s="544"/>
      <c r="N45" s="544"/>
      <c r="O45" s="544"/>
      <c r="P45" s="544"/>
      <c r="Q45" s="544"/>
      <c r="R45" s="544"/>
      <c r="S45" s="544"/>
      <c r="T45" s="544"/>
      <c r="U45" s="544"/>
      <c r="V45" s="544"/>
      <c r="W45" s="544"/>
      <c r="X45" s="544"/>
      <c r="Y45" s="544"/>
      <c r="Z45" s="544"/>
      <c r="AA45" s="544"/>
      <c r="AB45" s="544"/>
      <c r="AC45" s="544"/>
      <c r="AD45" s="544"/>
      <c r="AE45" s="544"/>
      <c r="AF45" s="544"/>
      <c r="AG45" s="544"/>
      <c r="AH45" s="544"/>
      <c r="AI45" s="544"/>
      <c r="AJ45" s="544"/>
      <c r="AK45" s="544"/>
      <c r="AL45" s="544"/>
      <c r="AM45" s="544"/>
      <c r="AN45" s="544"/>
      <c r="AO45" s="544"/>
      <c r="AP45" s="544"/>
      <c r="AQ45" s="544"/>
      <c r="AR45" s="544"/>
      <c r="AS45" s="544"/>
      <c r="AT45" s="544"/>
      <c r="AU45" s="544"/>
      <c r="AV45" s="544"/>
      <c r="AW45" s="544"/>
      <c r="AX45" s="544"/>
      <c r="AY45" s="544"/>
      <c r="AZ45" s="544"/>
      <c r="BA45" s="544"/>
      <c r="BB45" s="544"/>
      <c r="BC45" s="544"/>
      <c r="BD45" s="544"/>
      <c r="BE45" s="544"/>
      <c r="BF45" s="544"/>
      <c r="BG45" s="544"/>
      <c r="BH45" s="544"/>
      <c r="BI45" s="544"/>
      <c r="BJ45" s="544"/>
      <c r="BK45" s="544"/>
      <c r="BL45" s="544"/>
      <c r="BM45" s="544"/>
      <c r="BN45" s="544"/>
      <c r="BO45" s="544"/>
      <c r="BP45" s="544"/>
      <c r="BQ45" s="544"/>
      <c r="BR45" s="544"/>
      <c r="BS45" s="544"/>
      <c r="BT45" s="544"/>
      <c r="BU45" s="544"/>
      <c r="BV45" s="544"/>
      <c r="BW45" s="544"/>
      <c r="BX45" s="544"/>
      <c r="BY45" s="544"/>
      <c r="BZ45" s="544"/>
      <c r="CA45" s="544"/>
      <c r="CB45" s="544"/>
      <c r="CC45" s="544"/>
      <c r="CD45" s="544"/>
      <c r="CE45" s="544"/>
      <c r="CF45" s="544"/>
      <c r="CG45" s="544"/>
      <c r="CH45" s="544"/>
      <c r="CI45" s="544"/>
      <c r="CJ45" s="544"/>
    </row>
    <row r="46" spans="1:100" s="554" customFormat="1">
      <c r="A46" s="554" t="s">
        <v>264</v>
      </c>
      <c r="C46" s="557">
        <v>149.1</v>
      </c>
      <c r="D46" s="559">
        <v>281.3</v>
      </c>
      <c r="E46" s="559">
        <v>256.2</v>
      </c>
      <c r="F46" s="558">
        <v>268.2</v>
      </c>
      <c r="G46" s="558">
        <v>234.1</v>
      </c>
      <c r="H46" s="557">
        <v>268.10000000000002</v>
      </c>
      <c r="I46" s="557">
        <v>280.10000000000002</v>
      </c>
      <c r="J46" s="557">
        <v>296.10000000000002</v>
      </c>
      <c r="K46" s="557">
        <v>299.10000000000002</v>
      </c>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6"/>
      <c r="AK46" s="556"/>
      <c r="AL46" s="556"/>
      <c r="AM46" s="556"/>
      <c r="AN46" s="556"/>
      <c r="AO46" s="556"/>
      <c r="AP46" s="556"/>
      <c r="AQ46" s="556"/>
      <c r="AR46" s="556"/>
      <c r="AS46" s="556"/>
      <c r="AT46" s="556"/>
      <c r="AU46" s="556"/>
      <c r="AV46" s="556"/>
      <c r="AW46" s="556"/>
      <c r="AX46" s="556"/>
      <c r="AY46" s="556"/>
      <c r="AZ46" s="556"/>
      <c r="BA46" s="556"/>
      <c r="BB46" s="556"/>
      <c r="BC46" s="556"/>
      <c r="BD46" s="556"/>
      <c r="BE46" s="556"/>
      <c r="BF46" s="556"/>
      <c r="BG46" s="556"/>
      <c r="BH46" s="556"/>
      <c r="BI46" s="556"/>
      <c r="BJ46" s="556"/>
      <c r="BK46" s="556"/>
      <c r="BL46" s="556"/>
      <c r="BM46" s="556"/>
      <c r="BN46" s="556"/>
      <c r="BO46" s="556"/>
      <c r="BP46" s="556"/>
      <c r="BQ46" s="556"/>
      <c r="BR46" s="556"/>
      <c r="BS46" s="556"/>
      <c r="BT46" s="556"/>
      <c r="BU46" s="556"/>
      <c r="BV46" s="556"/>
      <c r="BW46" s="556"/>
      <c r="BX46" s="556"/>
      <c r="BY46" s="556"/>
      <c r="BZ46" s="556"/>
      <c r="CA46" s="556"/>
      <c r="CB46" s="556"/>
      <c r="CC46" s="556"/>
      <c r="CD46" s="556"/>
      <c r="CE46" s="556"/>
      <c r="CF46" s="556"/>
      <c r="CG46" s="556"/>
      <c r="CH46" s="556"/>
      <c r="CI46" s="556"/>
      <c r="CJ46" s="556"/>
      <c r="CV46" s="555"/>
    </row>
    <row r="47" spans="1:100">
      <c r="A47" s="540" t="s">
        <v>265</v>
      </c>
      <c r="C47" s="551">
        <v>22.7</v>
      </c>
      <c r="D47" s="553">
        <v>24.2</v>
      </c>
      <c r="E47" s="553">
        <v>24.2</v>
      </c>
      <c r="F47" s="552">
        <v>24.8</v>
      </c>
      <c r="G47" s="552">
        <v>44.8</v>
      </c>
      <c r="H47" s="551">
        <v>47.9</v>
      </c>
      <c r="I47" s="551">
        <v>45.9</v>
      </c>
      <c r="J47" s="551">
        <v>45.9</v>
      </c>
      <c r="K47" s="551">
        <v>41.1</v>
      </c>
      <c r="L47" s="544"/>
      <c r="M47" s="544"/>
      <c r="N47" s="544"/>
      <c r="O47" s="544"/>
      <c r="P47" s="544"/>
      <c r="Q47" s="544"/>
      <c r="R47" s="544"/>
      <c r="S47" s="544"/>
      <c r="T47" s="544"/>
      <c r="U47" s="544"/>
      <c r="V47" s="544"/>
      <c r="W47" s="544"/>
      <c r="X47" s="544"/>
      <c r="Y47" s="544"/>
      <c r="Z47" s="544"/>
      <c r="AA47" s="544"/>
      <c r="AB47" s="544"/>
      <c r="AC47" s="544"/>
      <c r="AD47" s="544"/>
      <c r="AE47" s="544"/>
      <c r="AF47" s="544"/>
      <c r="AG47" s="544"/>
      <c r="AH47" s="544"/>
      <c r="AI47" s="544"/>
      <c r="AJ47" s="544"/>
      <c r="AK47" s="544"/>
      <c r="AL47" s="544"/>
      <c r="AM47" s="544"/>
      <c r="AN47" s="544"/>
      <c r="AO47" s="544"/>
      <c r="AP47" s="544"/>
      <c r="AQ47" s="544"/>
      <c r="AR47" s="544"/>
      <c r="AS47" s="544"/>
      <c r="AT47" s="544"/>
      <c r="AU47" s="544"/>
      <c r="AV47" s="544"/>
      <c r="AW47" s="544"/>
      <c r="AX47" s="544"/>
      <c r="AY47" s="544"/>
      <c r="AZ47" s="544"/>
      <c r="BA47" s="544"/>
      <c r="BB47" s="544"/>
      <c r="BC47" s="544"/>
      <c r="BD47" s="544"/>
      <c r="BE47" s="544"/>
      <c r="BF47" s="544"/>
      <c r="BG47" s="544"/>
      <c r="BH47" s="544"/>
      <c r="BI47" s="544"/>
      <c r="BJ47" s="544"/>
      <c r="BK47" s="544"/>
      <c r="BL47" s="544"/>
      <c r="BM47" s="544"/>
      <c r="BN47" s="544"/>
      <c r="BO47" s="544"/>
      <c r="BP47" s="544"/>
      <c r="BQ47" s="544"/>
      <c r="BR47" s="544"/>
      <c r="BS47" s="544"/>
      <c r="BT47" s="544"/>
      <c r="BU47" s="544"/>
      <c r="BV47" s="544"/>
      <c r="BW47" s="544"/>
      <c r="BX47" s="544"/>
      <c r="BY47" s="544"/>
      <c r="BZ47" s="544"/>
      <c r="CA47" s="544"/>
      <c r="CB47" s="544"/>
      <c r="CC47" s="544"/>
      <c r="CD47" s="544"/>
      <c r="CE47" s="544"/>
      <c r="CF47" s="544"/>
      <c r="CG47" s="544"/>
      <c r="CH47" s="544"/>
      <c r="CI47" s="544"/>
      <c r="CJ47" s="544"/>
    </row>
    <row r="48" spans="1:100">
      <c r="C48" s="551"/>
      <c r="D48" s="553"/>
      <c r="E48" s="553"/>
      <c r="F48" s="552"/>
      <c r="G48" s="552"/>
      <c r="H48" s="551"/>
      <c r="I48" s="551"/>
      <c r="J48" s="551"/>
      <c r="K48" s="551"/>
      <c r="L48" s="544"/>
      <c r="M48" s="544"/>
      <c r="N48" s="544"/>
      <c r="O48" s="544"/>
      <c r="P48" s="544"/>
      <c r="Q48" s="544"/>
      <c r="R48" s="544"/>
      <c r="S48" s="544"/>
      <c r="T48" s="544"/>
      <c r="U48" s="544"/>
      <c r="V48" s="544"/>
      <c r="W48" s="544"/>
      <c r="X48" s="544"/>
      <c r="Y48" s="544"/>
      <c r="Z48" s="544"/>
      <c r="AA48" s="544"/>
      <c r="AB48" s="544"/>
      <c r="AC48" s="544"/>
      <c r="AD48" s="544"/>
      <c r="AE48" s="544"/>
      <c r="AF48" s="544"/>
      <c r="AG48" s="544"/>
      <c r="AH48" s="544"/>
      <c r="AI48" s="544"/>
      <c r="AJ48" s="544"/>
      <c r="AK48" s="544"/>
      <c r="AL48" s="544"/>
      <c r="AM48" s="544"/>
      <c r="AN48" s="544"/>
      <c r="AO48" s="544"/>
      <c r="AP48" s="544"/>
      <c r="AQ48" s="544"/>
      <c r="AR48" s="544"/>
      <c r="AS48" s="544"/>
      <c r="AT48" s="544"/>
      <c r="AU48" s="544"/>
      <c r="AV48" s="544"/>
      <c r="AW48" s="544"/>
      <c r="AX48" s="544"/>
      <c r="AY48" s="544"/>
      <c r="AZ48" s="544"/>
      <c r="BA48" s="544"/>
      <c r="BB48" s="544"/>
      <c r="BC48" s="544"/>
      <c r="BD48" s="544"/>
      <c r="BE48" s="544"/>
      <c r="BF48" s="544"/>
      <c r="BG48" s="544"/>
      <c r="BH48" s="544"/>
      <c r="BI48" s="544"/>
      <c r="BJ48" s="544"/>
      <c r="BK48" s="544"/>
      <c r="BL48" s="544"/>
      <c r="BM48" s="544"/>
      <c r="BN48" s="544"/>
      <c r="BO48" s="544"/>
      <c r="BP48" s="544"/>
      <c r="BQ48" s="544"/>
      <c r="BR48" s="544"/>
      <c r="BS48" s="544"/>
      <c r="BT48" s="544"/>
      <c r="BU48" s="544"/>
      <c r="BV48" s="544"/>
      <c r="BW48" s="544"/>
      <c r="BX48" s="544"/>
      <c r="BY48" s="544"/>
      <c r="BZ48" s="544"/>
      <c r="CA48" s="544"/>
      <c r="CB48" s="544"/>
      <c r="CC48" s="544"/>
      <c r="CD48" s="544"/>
      <c r="CE48" s="544"/>
      <c r="CF48" s="544"/>
      <c r="CG48" s="544"/>
      <c r="CH48" s="544"/>
      <c r="CI48" s="544"/>
      <c r="CJ48" s="544"/>
    </row>
    <row r="49" spans="1:100">
      <c r="A49" s="540" t="s">
        <v>232</v>
      </c>
      <c r="C49" s="551">
        <v>-431.2</v>
      </c>
      <c r="D49" s="553">
        <v>-535.6</v>
      </c>
      <c r="E49" s="553">
        <v>-219</v>
      </c>
      <c r="F49" s="552">
        <v>-280.2</v>
      </c>
      <c r="G49" s="552">
        <v>383.8</v>
      </c>
      <c r="H49" s="551">
        <v>409.6</v>
      </c>
      <c r="I49" s="551">
        <v>408.4</v>
      </c>
      <c r="J49" s="551">
        <v>311</v>
      </c>
      <c r="K49" s="551">
        <v>155.4</v>
      </c>
      <c r="L49" s="544"/>
      <c r="M49" s="544"/>
      <c r="N49" s="544"/>
      <c r="O49" s="544"/>
      <c r="P49" s="544"/>
      <c r="Q49" s="544"/>
      <c r="R49" s="544"/>
      <c r="S49" s="544"/>
      <c r="T49" s="544"/>
      <c r="U49" s="544"/>
      <c r="V49" s="544"/>
      <c r="W49" s="544"/>
      <c r="X49" s="544"/>
      <c r="Y49" s="544"/>
      <c r="Z49" s="544"/>
      <c r="AA49" s="544"/>
      <c r="AB49" s="544"/>
      <c r="AC49" s="544"/>
      <c r="AD49" s="544"/>
      <c r="AE49" s="544"/>
      <c r="AF49" s="544"/>
      <c r="AG49" s="544"/>
      <c r="AH49" s="544"/>
      <c r="AI49" s="544"/>
      <c r="AJ49" s="544"/>
      <c r="AK49" s="544"/>
      <c r="AL49" s="544"/>
      <c r="AM49" s="544"/>
      <c r="AN49" s="544"/>
      <c r="AO49" s="544"/>
      <c r="AP49" s="544"/>
      <c r="AQ49" s="544"/>
      <c r="AR49" s="544"/>
      <c r="AS49" s="544"/>
      <c r="AT49" s="544"/>
      <c r="AU49" s="544"/>
      <c r="AV49" s="544"/>
      <c r="AW49" s="544"/>
      <c r="AX49" s="544"/>
      <c r="AY49" s="544"/>
      <c r="AZ49" s="544"/>
      <c r="BA49" s="544"/>
      <c r="BB49" s="544"/>
      <c r="BC49" s="544"/>
      <c r="BD49" s="544"/>
      <c r="BE49" s="544"/>
      <c r="BF49" s="544"/>
      <c r="BG49" s="544"/>
      <c r="BH49" s="544"/>
      <c r="BI49" s="544"/>
      <c r="BJ49" s="544"/>
      <c r="BK49" s="544"/>
      <c r="BL49" s="544"/>
      <c r="BM49" s="544"/>
      <c r="BN49" s="544"/>
      <c r="BO49" s="544"/>
      <c r="BP49" s="544"/>
      <c r="BQ49" s="544"/>
      <c r="BR49" s="544"/>
      <c r="BS49" s="544"/>
      <c r="BT49" s="544"/>
      <c r="BU49" s="544"/>
      <c r="BV49" s="544"/>
      <c r="BW49" s="544"/>
      <c r="BX49" s="544"/>
      <c r="BY49" s="544"/>
      <c r="BZ49" s="544"/>
      <c r="CA49" s="544"/>
      <c r="CB49" s="544"/>
      <c r="CC49" s="544"/>
      <c r="CD49" s="544"/>
      <c r="CE49" s="544"/>
      <c r="CF49" s="544"/>
      <c r="CG49" s="544"/>
      <c r="CH49" s="544"/>
      <c r="CI49" s="544"/>
      <c r="CJ49" s="544"/>
    </row>
    <row r="50" spans="1:100">
      <c r="A50" s="540" t="s">
        <v>233</v>
      </c>
      <c r="C50" s="551">
        <v>333.5</v>
      </c>
      <c r="D50" s="553">
        <v>238.5</v>
      </c>
      <c r="E50" s="553">
        <v>345.4</v>
      </c>
      <c r="F50" s="552">
        <v>451.5</v>
      </c>
      <c r="G50" s="552">
        <v>650.9</v>
      </c>
      <c r="H50" s="551">
        <v>674.5</v>
      </c>
      <c r="I50" s="551">
        <v>701.7</v>
      </c>
      <c r="J50" s="551">
        <v>719</v>
      </c>
      <c r="K50" s="551">
        <v>757.7</v>
      </c>
      <c r="L50" s="544"/>
      <c r="M50" s="544"/>
      <c r="N50" s="544"/>
      <c r="O50" s="544"/>
      <c r="P50" s="544"/>
      <c r="Q50" s="544"/>
      <c r="R50" s="544"/>
      <c r="S50" s="544"/>
      <c r="T50" s="544"/>
      <c r="U50" s="544"/>
      <c r="V50" s="544"/>
      <c r="W50" s="544"/>
      <c r="X50" s="544"/>
      <c r="Y50" s="544"/>
      <c r="Z50" s="544"/>
      <c r="AA50" s="544"/>
      <c r="AB50" s="544"/>
      <c r="AC50" s="544"/>
      <c r="AD50" s="544"/>
      <c r="AE50" s="544"/>
      <c r="AF50" s="544"/>
      <c r="AG50" s="544"/>
      <c r="AH50" s="544"/>
      <c r="AI50" s="544"/>
      <c r="AJ50" s="544"/>
      <c r="AK50" s="544"/>
      <c r="AL50" s="544"/>
      <c r="AM50" s="544"/>
      <c r="AN50" s="544"/>
      <c r="AO50" s="544"/>
      <c r="AP50" s="544"/>
      <c r="AQ50" s="544"/>
      <c r="AR50" s="544"/>
      <c r="AS50" s="544"/>
      <c r="AT50" s="544"/>
      <c r="AU50" s="544"/>
      <c r="AV50" s="544"/>
      <c r="AW50" s="544"/>
      <c r="AX50" s="544"/>
      <c r="AY50" s="544"/>
      <c r="AZ50" s="544"/>
      <c r="BA50" s="544"/>
      <c r="BB50" s="544"/>
      <c r="BC50" s="544"/>
      <c r="BD50" s="544"/>
      <c r="BE50" s="544"/>
      <c r="BF50" s="544"/>
      <c r="BG50" s="544"/>
      <c r="BH50" s="544"/>
      <c r="BI50" s="544"/>
      <c r="BJ50" s="544"/>
      <c r="BK50" s="544"/>
      <c r="BL50" s="544"/>
      <c r="BM50" s="544"/>
      <c r="BN50" s="544"/>
      <c r="BO50" s="544"/>
      <c r="BP50" s="544"/>
      <c r="BQ50" s="544"/>
      <c r="BR50" s="544"/>
      <c r="BS50" s="544"/>
      <c r="BT50" s="544"/>
      <c r="BU50" s="544"/>
      <c r="BV50" s="544"/>
      <c r="BW50" s="544"/>
      <c r="BX50" s="544"/>
      <c r="BY50" s="544"/>
      <c r="BZ50" s="544"/>
      <c r="CA50" s="544"/>
      <c r="CB50" s="544"/>
      <c r="CC50" s="544"/>
      <c r="CD50" s="544"/>
      <c r="CE50" s="544"/>
      <c r="CF50" s="544"/>
      <c r="CG50" s="544"/>
      <c r="CH50" s="544"/>
      <c r="CI50" s="544"/>
      <c r="CJ50" s="544"/>
    </row>
    <row r="51" spans="1:100">
      <c r="A51" s="568"/>
      <c r="B51" s="568"/>
      <c r="C51" s="568"/>
      <c r="D51" s="553"/>
      <c r="E51" s="553"/>
      <c r="F51" s="552"/>
      <c r="G51" s="552"/>
      <c r="H51" s="568"/>
      <c r="I51" s="568"/>
      <c r="J51" s="568"/>
      <c r="K51" s="568"/>
      <c r="L51" s="568"/>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68"/>
      <c r="AL51" s="568"/>
      <c r="AM51" s="568"/>
      <c r="AN51" s="568"/>
      <c r="AO51" s="568"/>
      <c r="AP51" s="568"/>
      <c r="AQ51" s="568"/>
      <c r="AR51" s="568"/>
      <c r="AS51" s="568"/>
      <c r="AT51" s="568"/>
      <c r="AU51" s="568"/>
      <c r="AV51" s="568"/>
      <c r="AW51" s="568"/>
      <c r="AX51" s="568"/>
      <c r="AY51" s="568"/>
      <c r="AZ51" s="568"/>
      <c r="BA51" s="568"/>
      <c r="BB51" s="568"/>
      <c r="BC51" s="568"/>
      <c r="BD51" s="568"/>
      <c r="BE51" s="568"/>
      <c r="BF51" s="568"/>
      <c r="BG51" s="568"/>
      <c r="BH51" s="568"/>
      <c r="BI51" s="568"/>
      <c r="BJ51" s="568"/>
      <c r="BK51" s="568"/>
      <c r="BL51" s="568"/>
      <c r="BM51" s="568"/>
      <c r="BN51" s="568"/>
      <c r="BO51" s="568"/>
      <c r="BP51" s="568"/>
      <c r="BQ51" s="568"/>
      <c r="BR51" s="568"/>
      <c r="BS51" s="568"/>
      <c r="BT51" s="568"/>
      <c r="BU51" s="568"/>
      <c r="BV51" s="568"/>
      <c r="BW51" s="568"/>
      <c r="BX51" s="568"/>
      <c r="BY51" s="568"/>
      <c r="BZ51" s="568"/>
      <c r="CA51" s="568"/>
      <c r="CB51" s="568"/>
      <c r="CC51" s="568"/>
      <c r="CD51" s="568"/>
      <c r="CE51" s="568"/>
      <c r="CF51" s="568"/>
      <c r="CG51" s="568"/>
      <c r="CH51" s="568"/>
      <c r="CI51" s="568"/>
      <c r="CJ51" s="568"/>
    </row>
    <row r="52" spans="1:100" s="547" customFormat="1">
      <c r="D52" s="550"/>
      <c r="E52" s="550"/>
      <c r="F52" s="549"/>
      <c r="G52" s="549"/>
      <c r="CV52" s="548"/>
    </row>
    <row r="53" spans="1:100">
      <c r="A53" s="540" t="s">
        <v>234</v>
      </c>
      <c r="C53" s="587">
        <v>10034</v>
      </c>
      <c r="D53" s="588">
        <v>10368</v>
      </c>
      <c r="E53" s="588">
        <v>10368</v>
      </c>
      <c r="F53" s="589">
        <v>10773</v>
      </c>
      <c r="G53" s="589">
        <v>10773</v>
      </c>
      <c r="H53" s="590">
        <v>11168</v>
      </c>
      <c r="I53" s="590">
        <v>11616</v>
      </c>
      <c r="J53" s="590">
        <v>12080</v>
      </c>
      <c r="K53" s="590">
        <v>12564</v>
      </c>
      <c r="L53" s="544"/>
      <c r="M53" s="544"/>
      <c r="N53" s="544"/>
      <c r="O53" s="544"/>
      <c r="P53" s="544"/>
      <c r="Q53" s="544"/>
      <c r="R53" s="544"/>
      <c r="S53" s="544"/>
      <c r="T53" s="544"/>
      <c r="U53" s="544"/>
      <c r="V53" s="544"/>
      <c r="W53" s="544"/>
      <c r="X53" s="544"/>
      <c r="Y53" s="544"/>
      <c r="Z53" s="544"/>
      <c r="AA53" s="544"/>
      <c r="AB53" s="544"/>
      <c r="AC53" s="544"/>
      <c r="AD53" s="544"/>
      <c r="AE53" s="544"/>
      <c r="AF53" s="544"/>
      <c r="AG53" s="544"/>
      <c r="AH53" s="544"/>
      <c r="AI53" s="544"/>
      <c r="AJ53" s="544"/>
      <c r="AK53" s="544"/>
      <c r="AL53" s="544"/>
      <c r="AM53" s="544"/>
      <c r="AN53" s="544"/>
      <c r="AO53" s="544"/>
      <c r="AP53" s="544"/>
      <c r="AQ53" s="544"/>
      <c r="AR53" s="544"/>
      <c r="AS53" s="544"/>
      <c r="AT53" s="544"/>
      <c r="AU53" s="544"/>
      <c r="AV53" s="544"/>
      <c r="AW53" s="544"/>
      <c r="AX53" s="544"/>
      <c r="AY53" s="544"/>
      <c r="AZ53" s="544"/>
      <c r="BA53" s="544"/>
      <c r="BB53" s="544"/>
      <c r="BC53" s="544"/>
      <c r="BD53" s="544"/>
      <c r="BE53" s="544"/>
      <c r="BF53" s="544"/>
      <c r="BG53" s="544"/>
      <c r="BH53" s="544"/>
      <c r="BI53" s="544"/>
      <c r="BJ53" s="544"/>
      <c r="BK53" s="544"/>
      <c r="BL53" s="544"/>
      <c r="BM53" s="544"/>
      <c r="BN53" s="544"/>
      <c r="BO53" s="544"/>
      <c r="BP53" s="544"/>
      <c r="BQ53" s="544"/>
      <c r="BR53" s="544"/>
      <c r="BS53" s="544"/>
      <c r="BT53" s="544"/>
      <c r="BU53" s="544"/>
      <c r="BV53" s="544"/>
      <c r="BW53" s="544"/>
      <c r="BX53" s="544"/>
      <c r="BY53" s="544"/>
      <c r="BZ53" s="544"/>
      <c r="CA53" s="544"/>
      <c r="CB53" s="544"/>
      <c r="CC53" s="544"/>
      <c r="CD53" s="544"/>
      <c r="CE53" s="544"/>
      <c r="CF53" s="544"/>
      <c r="CG53" s="544"/>
      <c r="CH53" s="544"/>
      <c r="CI53" s="544"/>
      <c r="CJ53" s="544"/>
    </row>
    <row r="54" spans="1:100" ht="24" thickBot="1">
      <c r="A54" s="560" t="s">
        <v>527</v>
      </c>
      <c r="C54" s="544"/>
      <c r="D54" s="579"/>
      <c r="E54" s="579"/>
      <c r="F54" s="578"/>
      <c r="G54" s="578"/>
      <c r="H54" s="544"/>
      <c r="I54" s="544"/>
      <c r="J54" s="544"/>
      <c r="K54" s="544"/>
      <c r="L54" s="544"/>
      <c r="M54" s="544"/>
      <c r="N54" s="544"/>
      <c r="O54" s="544"/>
      <c r="P54" s="544"/>
      <c r="Q54" s="544"/>
      <c r="R54" s="544"/>
      <c r="S54" s="544"/>
      <c r="T54" s="544"/>
      <c r="U54" s="544"/>
      <c r="V54" s="544"/>
      <c r="W54" s="544"/>
      <c r="X54" s="544"/>
      <c r="Y54" s="544"/>
      <c r="Z54" s="544"/>
      <c r="AA54" s="544"/>
      <c r="AB54" s="544"/>
      <c r="AC54" s="544"/>
      <c r="AD54" s="544"/>
      <c r="AE54" s="544"/>
      <c r="AF54" s="544"/>
      <c r="AG54" s="544"/>
      <c r="AH54" s="544"/>
      <c r="AI54" s="544"/>
      <c r="AJ54" s="544"/>
      <c r="AK54" s="544"/>
      <c r="AL54" s="544"/>
      <c r="AM54" s="544"/>
      <c r="AN54" s="544"/>
      <c r="AO54" s="544"/>
      <c r="AP54" s="544"/>
      <c r="AQ54" s="544"/>
      <c r="AR54" s="544"/>
      <c r="AS54" s="544"/>
      <c r="AT54" s="544"/>
      <c r="AU54" s="544"/>
      <c r="AV54" s="544"/>
      <c r="AW54" s="544"/>
      <c r="AX54" s="544"/>
      <c r="AY54" s="544"/>
      <c r="AZ54" s="544"/>
      <c r="BA54" s="544"/>
      <c r="BB54" s="544"/>
      <c r="BC54" s="544"/>
      <c r="BD54" s="544"/>
      <c r="BE54" s="544"/>
      <c r="BF54" s="544"/>
      <c r="BG54" s="544"/>
      <c r="BH54" s="544"/>
      <c r="BI54" s="544"/>
      <c r="BJ54" s="544"/>
      <c r="BK54" s="544"/>
      <c r="BL54" s="544"/>
      <c r="BM54" s="544"/>
      <c r="BN54" s="544"/>
      <c r="BO54" s="544"/>
      <c r="BP54" s="544"/>
      <c r="BQ54" s="544"/>
      <c r="BR54" s="544"/>
      <c r="BS54" s="544"/>
      <c r="BT54" s="544"/>
      <c r="BU54" s="544"/>
      <c r="BV54" s="544"/>
      <c r="BW54" s="544"/>
      <c r="BX54" s="544"/>
      <c r="BY54" s="544"/>
      <c r="BZ54" s="544"/>
      <c r="CA54" s="544"/>
      <c r="CB54" s="544"/>
      <c r="CC54" s="544"/>
      <c r="CD54" s="544"/>
      <c r="CE54" s="544"/>
      <c r="CF54" s="544"/>
      <c r="CG54" s="544"/>
      <c r="CH54" s="544"/>
      <c r="CI54" s="544"/>
      <c r="CJ54" s="544"/>
    </row>
    <row r="55" spans="1:100" ht="21.75" thickTop="1" thickBot="1">
      <c r="A55" s="540" t="s">
        <v>531</v>
      </c>
      <c r="C55" s="567" t="s">
        <v>526</v>
      </c>
      <c r="D55" s="566" t="s">
        <v>215</v>
      </c>
      <c r="E55" s="565" t="s">
        <v>215</v>
      </c>
      <c r="F55" s="564" t="s">
        <v>216</v>
      </c>
      <c r="G55" s="564" t="s">
        <v>216</v>
      </c>
      <c r="H55" s="563" t="s">
        <v>217</v>
      </c>
      <c r="I55" s="563" t="s">
        <v>218</v>
      </c>
      <c r="J55" s="563" t="s">
        <v>219</v>
      </c>
      <c r="K55" s="563" t="s">
        <v>220</v>
      </c>
      <c r="L55" s="563" t="s">
        <v>530</v>
      </c>
      <c r="M55" s="544"/>
      <c r="N55" s="544"/>
      <c r="O55" s="544"/>
      <c r="P55" s="544"/>
      <c r="Q55" s="544"/>
      <c r="R55" s="544"/>
      <c r="S55" s="544"/>
      <c r="T55" s="544"/>
      <c r="U55" s="544"/>
      <c r="V55" s="544"/>
      <c r="W55" s="544"/>
      <c r="X55" s="544"/>
      <c r="Y55" s="544"/>
      <c r="Z55" s="544"/>
      <c r="AA55" s="544"/>
      <c r="AB55" s="544"/>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544"/>
      <c r="AY55" s="544"/>
      <c r="AZ55" s="544"/>
      <c r="BA55" s="544"/>
      <c r="BB55" s="544"/>
      <c r="BC55" s="544"/>
      <c r="BD55" s="544"/>
      <c r="BE55" s="544"/>
      <c r="BF55" s="544"/>
      <c r="BG55" s="544"/>
      <c r="BH55" s="544"/>
      <c r="BI55" s="544"/>
      <c r="BJ55" s="544"/>
      <c r="BK55" s="544"/>
      <c r="BL55" s="544"/>
      <c r="BM55" s="544"/>
      <c r="BN55" s="544"/>
      <c r="BO55" s="544"/>
      <c r="BP55" s="544"/>
      <c r="BQ55" s="544"/>
      <c r="BR55" s="544"/>
      <c r="BS55" s="544"/>
      <c r="BT55" s="544"/>
      <c r="BU55" s="544"/>
      <c r="BV55" s="544"/>
      <c r="BW55" s="544"/>
      <c r="BX55" s="544"/>
      <c r="BY55" s="544"/>
      <c r="BZ55" s="544"/>
      <c r="CA55" s="544"/>
      <c r="CB55" s="544"/>
      <c r="CC55" s="544"/>
      <c r="CD55" s="544"/>
      <c r="CE55" s="544"/>
      <c r="CF55" s="544"/>
      <c r="CG55" s="544"/>
      <c r="CH55" s="544"/>
      <c r="CI55" s="544"/>
      <c r="CJ55" s="544"/>
    </row>
    <row r="56" spans="1:100" ht="21" thickTop="1">
      <c r="C56" s="544"/>
      <c r="D56" s="546"/>
      <c r="E56" s="546"/>
      <c r="F56" s="545"/>
      <c r="G56" s="545"/>
      <c r="H56" s="544"/>
      <c r="I56" s="544"/>
      <c r="J56" s="544"/>
      <c r="K56" s="544"/>
      <c r="L56" s="544"/>
      <c r="M56" s="544"/>
      <c r="N56" s="544"/>
      <c r="O56" s="544"/>
      <c r="P56" s="544"/>
      <c r="Q56" s="544"/>
      <c r="R56" s="544"/>
      <c r="S56" s="544"/>
      <c r="T56" s="544"/>
      <c r="U56" s="544"/>
      <c r="V56" s="544"/>
      <c r="W56" s="544"/>
      <c r="X56" s="544"/>
      <c r="Y56" s="544"/>
      <c r="Z56" s="544"/>
      <c r="AA56" s="544"/>
      <c r="AB56" s="544"/>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544"/>
      <c r="AY56" s="544"/>
      <c r="AZ56" s="544"/>
      <c r="BA56" s="544"/>
      <c r="BB56" s="544"/>
      <c r="BC56" s="544"/>
      <c r="BD56" s="544"/>
      <c r="BE56" s="544"/>
      <c r="BF56" s="544"/>
      <c r="BG56" s="544"/>
      <c r="BH56" s="544"/>
      <c r="BI56" s="544"/>
      <c r="BJ56" s="544"/>
      <c r="BK56" s="544"/>
      <c r="BL56" s="544"/>
      <c r="BM56" s="544"/>
      <c r="BN56" s="544"/>
      <c r="BO56" s="544"/>
      <c r="BP56" s="544"/>
      <c r="BQ56" s="544"/>
      <c r="BR56" s="544"/>
      <c r="BS56" s="544"/>
      <c r="BT56" s="544"/>
      <c r="BU56" s="544"/>
      <c r="BV56" s="544"/>
      <c r="BW56" s="544"/>
      <c r="BX56" s="544"/>
      <c r="BY56" s="544"/>
      <c r="BZ56" s="544"/>
      <c r="CA56" s="544"/>
      <c r="CB56" s="544"/>
      <c r="CC56" s="544"/>
      <c r="CD56" s="544"/>
      <c r="CE56" s="544"/>
      <c r="CF56" s="544"/>
      <c r="CG56" s="544"/>
      <c r="CH56" s="544"/>
      <c r="CI56" s="544"/>
      <c r="CJ56" s="544"/>
    </row>
    <row r="57" spans="1:100">
      <c r="C57" s="544"/>
      <c r="D57" s="577" t="s">
        <v>529</v>
      </c>
      <c r="E57" s="595" t="s">
        <v>528</v>
      </c>
      <c r="F57" s="575" t="s">
        <v>529</v>
      </c>
      <c r="G57" s="575" t="s">
        <v>528</v>
      </c>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4"/>
      <c r="AY57" s="544"/>
      <c r="AZ57" s="544"/>
      <c r="BA57" s="544"/>
      <c r="BB57" s="544"/>
      <c r="BC57" s="544"/>
      <c r="BD57" s="544"/>
      <c r="BE57" s="544"/>
      <c r="BF57" s="544"/>
      <c r="BG57" s="544"/>
      <c r="BH57" s="544"/>
      <c r="BI57" s="544"/>
      <c r="BJ57" s="544"/>
      <c r="BK57" s="544"/>
      <c r="BL57" s="544"/>
      <c r="BM57" s="544"/>
      <c r="BN57" s="544"/>
      <c r="BO57" s="544"/>
      <c r="BP57" s="544"/>
      <c r="BQ57" s="544"/>
      <c r="BR57" s="544"/>
      <c r="BS57" s="544"/>
      <c r="BT57" s="544"/>
      <c r="BU57" s="544"/>
      <c r="BV57" s="544"/>
      <c r="BW57" s="544"/>
      <c r="BX57" s="544"/>
      <c r="BY57" s="544"/>
      <c r="BZ57" s="544"/>
      <c r="CA57" s="544"/>
      <c r="CB57" s="544"/>
      <c r="CC57" s="544"/>
      <c r="CD57" s="544"/>
      <c r="CE57" s="544"/>
      <c r="CF57" s="544"/>
      <c r="CG57" s="544"/>
      <c r="CH57" s="544"/>
      <c r="CI57" s="544"/>
      <c r="CJ57" s="544"/>
    </row>
    <row r="58" spans="1:100" s="554" customFormat="1">
      <c r="A58" s="554" t="s">
        <v>221</v>
      </c>
      <c r="C58" s="557">
        <v>26.7</v>
      </c>
      <c r="D58" s="559">
        <v>28</v>
      </c>
      <c r="E58" s="559">
        <v>28</v>
      </c>
      <c r="F58" s="558">
        <v>29.4</v>
      </c>
      <c r="G58" s="558">
        <v>29.3</v>
      </c>
      <c r="H58" s="557">
        <v>29.3</v>
      </c>
      <c r="I58" s="557">
        <v>29.4</v>
      </c>
      <c r="J58" s="557">
        <v>29.4</v>
      </c>
      <c r="K58" s="557">
        <v>29.3</v>
      </c>
      <c r="L58" s="556"/>
      <c r="M58" s="556"/>
      <c r="N58" s="556"/>
      <c r="O58" s="556"/>
      <c r="P58" s="556"/>
      <c r="Q58" s="556"/>
      <c r="R58" s="556"/>
      <c r="S58" s="556"/>
      <c r="T58" s="556"/>
      <c r="U58" s="556"/>
      <c r="V58" s="556"/>
      <c r="W58" s="556"/>
      <c r="X58" s="556"/>
      <c r="Y58" s="556"/>
      <c r="Z58" s="556"/>
      <c r="AA58" s="556"/>
      <c r="AB58" s="556"/>
      <c r="AC58" s="556"/>
      <c r="AD58" s="556"/>
      <c r="AE58" s="556"/>
      <c r="AF58" s="556"/>
      <c r="AG58" s="556"/>
      <c r="AH58" s="556"/>
      <c r="AI58" s="556"/>
      <c r="AJ58" s="556"/>
      <c r="AK58" s="556"/>
      <c r="AL58" s="556"/>
      <c r="AM58" s="556"/>
      <c r="AN58" s="556"/>
      <c r="AO58" s="556"/>
      <c r="AP58" s="556"/>
      <c r="AQ58" s="556"/>
      <c r="AR58" s="556"/>
      <c r="AS58" s="556"/>
      <c r="AT58" s="556"/>
      <c r="AU58" s="556"/>
      <c r="AV58" s="556"/>
      <c r="AW58" s="556"/>
      <c r="AX58" s="556"/>
      <c r="AY58" s="556"/>
      <c r="AZ58" s="556"/>
      <c r="BA58" s="556"/>
      <c r="BB58" s="556"/>
      <c r="BC58" s="556"/>
      <c r="BD58" s="556"/>
      <c r="BE58" s="556"/>
      <c r="BF58" s="556"/>
      <c r="BG58" s="556"/>
      <c r="BH58" s="556"/>
      <c r="BI58" s="556"/>
      <c r="BJ58" s="556"/>
      <c r="BK58" s="556"/>
      <c r="BL58" s="556"/>
      <c r="BM58" s="556"/>
      <c r="BN58" s="556"/>
      <c r="BO58" s="556"/>
      <c r="BP58" s="556"/>
      <c r="BQ58" s="556"/>
      <c r="BR58" s="556"/>
      <c r="BS58" s="556"/>
      <c r="BT58" s="556"/>
      <c r="BU58" s="556"/>
      <c r="BV58" s="556"/>
      <c r="BW58" s="556"/>
      <c r="BX58" s="556"/>
      <c r="BY58" s="556"/>
      <c r="BZ58" s="556"/>
      <c r="CA58" s="556"/>
      <c r="CB58" s="556"/>
      <c r="CC58" s="556"/>
      <c r="CD58" s="556"/>
      <c r="CE58" s="556"/>
      <c r="CF58" s="556"/>
      <c r="CG58" s="556"/>
      <c r="CH58" s="556"/>
      <c r="CI58" s="556"/>
      <c r="CJ58" s="556"/>
      <c r="CV58" s="555"/>
    </row>
    <row r="59" spans="1:100" s="554" customFormat="1">
      <c r="A59" s="554" t="s">
        <v>223</v>
      </c>
      <c r="C59" s="551">
        <v>9.8000000000000007</v>
      </c>
      <c r="D59" s="553">
        <v>10.9</v>
      </c>
      <c r="E59" s="553">
        <v>10.9</v>
      </c>
      <c r="F59" s="552">
        <v>11.7</v>
      </c>
      <c r="G59" s="552">
        <v>11.7</v>
      </c>
      <c r="H59" s="551">
        <v>11.6</v>
      </c>
      <c r="I59" s="551">
        <v>11.7</v>
      </c>
      <c r="J59" s="551">
        <v>11.6</v>
      </c>
      <c r="K59" s="551">
        <v>11.6</v>
      </c>
      <c r="L59" s="556"/>
      <c r="M59" s="556"/>
      <c r="N59" s="556"/>
      <c r="O59" s="556"/>
      <c r="P59" s="556"/>
      <c r="Q59" s="556"/>
      <c r="R59" s="556"/>
      <c r="S59" s="556"/>
      <c r="T59" s="556"/>
      <c r="U59" s="556"/>
      <c r="V59" s="556"/>
      <c r="W59" s="556"/>
      <c r="X59" s="556"/>
      <c r="Y59" s="556"/>
      <c r="Z59" s="556"/>
      <c r="AA59" s="556"/>
      <c r="AB59" s="556"/>
      <c r="AC59" s="556"/>
      <c r="AD59" s="556"/>
      <c r="AE59" s="556"/>
      <c r="AF59" s="556"/>
      <c r="AG59" s="556"/>
      <c r="AH59" s="556"/>
      <c r="AI59" s="556"/>
      <c r="AJ59" s="556"/>
      <c r="AK59" s="556"/>
      <c r="AL59" s="556"/>
      <c r="AM59" s="556"/>
      <c r="AN59" s="556"/>
      <c r="AO59" s="556"/>
      <c r="AP59" s="556"/>
      <c r="AQ59" s="556"/>
      <c r="AR59" s="556"/>
      <c r="AS59" s="556"/>
      <c r="AT59" s="556"/>
      <c r="AU59" s="556"/>
      <c r="AV59" s="556"/>
      <c r="AW59" s="556"/>
      <c r="AX59" s="556"/>
      <c r="AY59" s="556"/>
      <c r="AZ59" s="556"/>
      <c r="BA59" s="556"/>
      <c r="BB59" s="556"/>
      <c r="BC59" s="556"/>
      <c r="BD59" s="556"/>
      <c r="BE59" s="556"/>
      <c r="BF59" s="556"/>
      <c r="BG59" s="556"/>
      <c r="BH59" s="556"/>
      <c r="BI59" s="556"/>
      <c r="BJ59" s="556"/>
      <c r="BK59" s="556"/>
      <c r="BL59" s="556"/>
      <c r="BM59" s="556"/>
      <c r="BN59" s="556"/>
      <c r="BO59" s="556"/>
      <c r="BP59" s="556"/>
      <c r="BQ59" s="556"/>
      <c r="BR59" s="556"/>
      <c r="BS59" s="556"/>
      <c r="BT59" s="556"/>
      <c r="BU59" s="556"/>
      <c r="BV59" s="556"/>
      <c r="BW59" s="556"/>
      <c r="BX59" s="556"/>
      <c r="BY59" s="556"/>
      <c r="BZ59" s="556"/>
      <c r="CA59" s="556"/>
      <c r="CB59" s="556"/>
      <c r="CC59" s="556"/>
      <c r="CD59" s="556"/>
      <c r="CE59" s="556"/>
      <c r="CF59" s="556"/>
      <c r="CG59" s="556"/>
      <c r="CH59" s="556"/>
      <c r="CI59" s="556"/>
      <c r="CJ59" s="556"/>
      <c r="CV59" s="555"/>
    </row>
    <row r="60" spans="1:100">
      <c r="A60" s="540" t="s">
        <v>236</v>
      </c>
      <c r="C60" s="551">
        <v>4.7</v>
      </c>
      <c r="D60" s="553">
        <v>4.8</v>
      </c>
      <c r="E60" s="553">
        <v>4.8</v>
      </c>
      <c r="F60" s="552">
        <v>4.9000000000000004</v>
      </c>
      <c r="G60" s="552">
        <v>4.9000000000000004</v>
      </c>
      <c r="H60" s="551">
        <v>4.9000000000000004</v>
      </c>
      <c r="I60" s="551">
        <v>4.9000000000000004</v>
      </c>
      <c r="J60" s="551">
        <v>4.9000000000000004</v>
      </c>
      <c r="K60" s="551">
        <v>4.9000000000000004</v>
      </c>
      <c r="L60" s="544"/>
      <c r="M60" s="544"/>
      <c r="N60" s="544"/>
      <c r="O60" s="544"/>
      <c r="P60" s="544"/>
      <c r="Q60" s="544"/>
      <c r="R60" s="544"/>
      <c r="S60" s="544"/>
      <c r="T60" s="544"/>
      <c r="U60" s="544"/>
      <c r="V60" s="544"/>
      <c r="W60" s="544"/>
      <c r="X60" s="544"/>
      <c r="Y60" s="544"/>
      <c r="Z60" s="544"/>
      <c r="AA60" s="544"/>
      <c r="AB60" s="544"/>
      <c r="AC60" s="544"/>
      <c r="AD60" s="544"/>
      <c r="AE60" s="544"/>
      <c r="AF60" s="544"/>
      <c r="AG60" s="544"/>
      <c r="AH60" s="544"/>
      <c r="AI60" s="544"/>
      <c r="AJ60" s="544"/>
      <c r="AK60" s="544"/>
      <c r="AL60" s="544"/>
      <c r="AM60" s="544"/>
      <c r="AN60" s="544"/>
      <c r="AO60" s="544"/>
      <c r="AP60" s="544"/>
      <c r="AQ60" s="544"/>
      <c r="AR60" s="544"/>
      <c r="AS60" s="544"/>
      <c r="AT60" s="544"/>
      <c r="AU60" s="544"/>
      <c r="AV60" s="544"/>
      <c r="AW60" s="544"/>
      <c r="AX60" s="544"/>
      <c r="AY60" s="544"/>
      <c r="AZ60" s="544"/>
      <c r="BA60" s="544"/>
      <c r="BB60" s="544"/>
      <c r="BC60" s="544"/>
      <c r="BD60" s="544"/>
      <c r="BE60" s="544"/>
      <c r="BF60" s="544"/>
      <c r="BG60" s="544"/>
      <c r="BH60" s="544"/>
      <c r="BI60" s="544"/>
      <c r="BJ60" s="544"/>
      <c r="BK60" s="544"/>
      <c r="BL60" s="544"/>
      <c r="BM60" s="544"/>
      <c r="BN60" s="544"/>
      <c r="BO60" s="544"/>
      <c r="BP60" s="544"/>
      <c r="BQ60" s="544"/>
      <c r="BR60" s="544"/>
      <c r="BS60" s="544"/>
      <c r="BT60" s="544"/>
      <c r="BU60" s="544"/>
      <c r="BV60" s="544"/>
      <c r="BW60" s="544"/>
      <c r="BX60" s="544"/>
      <c r="BY60" s="544"/>
      <c r="BZ60" s="544"/>
      <c r="CA60" s="544"/>
      <c r="CB60" s="544"/>
      <c r="CC60" s="544"/>
      <c r="CD60" s="544"/>
      <c r="CE60" s="544"/>
      <c r="CF60" s="544"/>
      <c r="CG60" s="544"/>
      <c r="CH60" s="544"/>
      <c r="CI60" s="544"/>
      <c r="CJ60" s="544"/>
    </row>
    <row r="61" spans="1:100">
      <c r="A61" s="540" t="s">
        <v>237</v>
      </c>
      <c r="C61" s="551">
        <v>2.8</v>
      </c>
      <c r="D61" s="553">
        <v>3.5</v>
      </c>
      <c r="E61" s="553">
        <v>3.5</v>
      </c>
      <c r="F61" s="552">
        <v>3.7</v>
      </c>
      <c r="G61" s="552">
        <v>3.7</v>
      </c>
      <c r="H61" s="551">
        <v>3.7</v>
      </c>
      <c r="I61" s="551">
        <v>3.7</v>
      </c>
      <c r="J61" s="551">
        <v>3.7</v>
      </c>
      <c r="K61" s="551">
        <v>3.7</v>
      </c>
      <c r="L61" s="544"/>
      <c r="M61" s="544"/>
      <c r="N61" s="544"/>
      <c r="O61" s="544"/>
      <c r="P61" s="544"/>
      <c r="Q61" s="544"/>
      <c r="R61" s="544"/>
      <c r="S61" s="544"/>
      <c r="T61" s="544"/>
      <c r="U61" s="544"/>
      <c r="V61" s="544"/>
      <c r="W61" s="544"/>
      <c r="X61" s="544"/>
      <c r="Y61" s="544"/>
      <c r="Z61" s="544"/>
      <c r="AA61" s="544"/>
      <c r="AB61" s="544"/>
      <c r="AC61" s="544"/>
      <c r="AD61" s="544"/>
      <c r="AE61" s="544"/>
      <c r="AF61" s="544"/>
      <c r="AG61" s="544"/>
      <c r="AH61" s="544"/>
      <c r="AI61" s="544"/>
      <c r="AJ61" s="544"/>
      <c r="AK61" s="544"/>
      <c r="AL61" s="544"/>
      <c r="AM61" s="544"/>
      <c r="AN61" s="544"/>
      <c r="AO61" s="544"/>
      <c r="AP61" s="544"/>
      <c r="AQ61" s="544"/>
      <c r="AR61" s="544"/>
      <c r="AS61" s="544"/>
      <c r="AT61" s="544"/>
      <c r="AU61" s="544"/>
      <c r="AV61" s="544"/>
      <c r="AW61" s="544"/>
      <c r="AX61" s="544"/>
      <c r="AY61" s="544"/>
      <c r="AZ61" s="544"/>
      <c r="BA61" s="544"/>
      <c r="BB61" s="544"/>
      <c r="BC61" s="544"/>
      <c r="BD61" s="544"/>
      <c r="BE61" s="544"/>
      <c r="BF61" s="544"/>
      <c r="BG61" s="544"/>
      <c r="BH61" s="544"/>
      <c r="BI61" s="544"/>
      <c r="BJ61" s="544"/>
      <c r="BK61" s="544"/>
      <c r="BL61" s="544"/>
      <c r="BM61" s="544"/>
      <c r="BN61" s="544"/>
      <c r="BO61" s="544"/>
      <c r="BP61" s="544"/>
      <c r="BQ61" s="544"/>
      <c r="BR61" s="544"/>
      <c r="BS61" s="544"/>
      <c r="BT61" s="544"/>
      <c r="BU61" s="544"/>
      <c r="BV61" s="544"/>
      <c r="BW61" s="544"/>
      <c r="BX61" s="544"/>
      <c r="BY61" s="544"/>
      <c r="BZ61" s="544"/>
      <c r="CA61" s="544"/>
      <c r="CB61" s="544"/>
      <c r="CC61" s="544"/>
      <c r="CD61" s="544"/>
      <c r="CE61" s="544"/>
      <c r="CF61" s="544"/>
      <c r="CG61" s="544"/>
      <c r="CH61" s="544"/>
      <c r="CI61" s="544"/>
      <c r="CJ61" s="544"/>
    </row>
    <row r="62" spans="1:100">
      <c r="A62" s="540" t="s">
        <v>238</v>
      </c>
      <c r="C62" s="551">
        <v>0</v>
      </c>
      <c r="D62" s="553">
        <v>0</v>
      </c>
      <c r="E62" s="553">
        <v>0</v>
      </c>
      <c r="F62" s="552">
        <v>0</v>
      </c>
      <c r="G62" s="552">
        <v>0</v>
      </c>
      <c r="H62" s="551">
        <v>0</v>
      </c>
      <c r="I62" s="551">
        <v>0</v>
      </c>
      <c r="J62" s="551">
        <v>0</v>
      </c>
      <c r="K62" s="551">
        <v>0</v>
      </c>
      <c r="L62" s="544"/>
      <c r="M62" s="544"/>
      <c r="N62" s="544"/>
      <c r="O62" s="544"/>
      <c r="P62" s="544"/>
      <c r="Q62" s="544"/>
      <c r="R62" s="544"/>
      <c r="S62" s="544"/>
      <c r="T62" s="544"/>
      <c r="U62" s="544"/>
      <c r="V62" s="544"/>
      <c r="W62" s="544"/>
      <c r="X62" s="544"/>
      <c r="Y62" s="544"/>
      <c r="Z62" s="544"/>
      <c r="AA62" s="544"/>
      <c r="AB62" s="544"/>
      <c r="AC62" s="544"/>
      <c r="AD62" s="544"/>
      <c r="AE62" s="544"/>
      <c r="AF62" s="544"/>
      <c r="AG62" s="544"/>
      <c r="AH62" s="544"/>
      <c r="AI62" s="544"/>
      <c r="AJ62" s="544"/>
      <c r="AK62" s="544"/>
      <c r="AL62" s="544"/>
      <c r="AM62" s="544"/>
      <c r="AN62" s="544"/>
      <c r="AO62" s="544"/>
      <c r="AP62" s="544"/>
      <c r="AQ62" s="544"/>
      <c r="AR62" s="544"/>
      <c r="AS62" s="544"/>
      <c r="AT62" s="544"/>
      <c r="AU62" s="544"/>
      <c r="AV62" s="544"/>
      <c r="AW62" s="544"/>
      <c r="AX62" s="544"/>
      <c r="AY62" s="544"/>
      <c r="AZ62" s="544"/>
      <c r="BA62" s="544"/>
      <c r="BB62" s="544"/>
      <c r="BC62" s="544"/>
      <c r="BD62" s="544"/>
      <c r="BE62" s="544"/>
      <c r="BF62" s="544"/>
      <c r="BG62" s="544"/>
      <c r="BH62" s="544"/>
      <c r="BI62" s="544"/>
      <c r="BJ62" s="544"/>
      <c r="BK62" s="544"/>
      <c r="BL62" s="544"/>
      <c r="BM62" s="544"/>
      <c r="BN62" s="544"/>
      <c r="BO62" s="544"/>
      <c r="BP62" s="544"/>
      <c r="BQ62" s="544"/>
      <c r="BR62" s="544"/>
      <c r="BS62" s="544"/>
      <c r="BT62" s="544"/>
      <c r="BU62" s="544"/>
      <c r="BV62" s="544"/>
      <c r="BW62" s="544"/>
      <c r="BX62" s="544"/>
      <c r="BY62" s="544"/>
      <c r="BZ62" s="544"/>
      <c r="CA62" s="544"/>
      <c r="CB62" s="544"/>
      <c r="CC62" s="544"/>
      <c r="CD62" s="544"/>
      <c r="CE62" s="544"/>
      <c r="CF62" s="544"/>
      <c r="CG62" s="544"/>
      <c r="CH62" s="544"/>
      <c r="CI62" s="544"/>
      <c r="CJ62" s="544"/>
    </row>
    <row r="63" spans="1:100">
      <c r="A63" s="540" t="s">
        <v>239</v>
      </c>
      <c r="C63" s="551">
        <v>0</v>
      </c>
      <c r="D63" s="553">
        <v>0</v>
      </c>
      <c r="E63" s="553">
        <v>0</v>
      </c>
      <c r="F63" s="552">
        <v>0</v>
      </c>
      <c r="G63" s="552">
        <v>0</v>
      </c>
      <c r="H63" s="551">
        <v>0</v>
      </c>
      <c r="I63" s="551">
        <v>0</v>
      </c>
      <c r="J63" s="551">
        <v>0</v>
      </c>
      <c r="K63" s="551">
        <v>0</v>
      </c>
      <c r="L63" s="544"/>
      <c r="M63" s="544"/>
      <c r="N63" s="544"/>
      <c r="O63" s="544"/>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4"/>
      <c r="AN63" s="544"/>
      <c r="AO63" s="544"/>
      <c r="AP63" s="544"/>
      <c r="AQ63" s="544"/>
      <c r="AR63" s="544"/>
      <c r="AS63" s="544"/>
      <c r="AT63" s="544"/>
      <c r="AU63" s="544"/>
      <c r="AV63" s="544"/>
      <c r="AW63" s="544"/>
      <c r="AX63" s="544"/>
      <c r="AY63" s="544"/>
      <c r="AZ63" s="544"/>
      <c r="BA63" s="544"/>
      <c r="BB63" s="544"/>
      <c r="BC63" s="544"/>
      <c r="BD63" s="544"/>
      <c r="BE63" s="544"/>
      <c r="BF63" s="544"/>
      <c r="BG63" s="544"/>
      <c r="BH63" s="544"/>
      <c r="BI63" s="544"/>
      <c r="BJ63" s="544"/>
      <c r="BK63" s="544"/>
      <c r="BL63" s="544"/>
      <c r="BM63" s="544"/>
      <c r="BN63" s="544"/>
      <c r="BO63" s="544"/>
      <c r="BP63" s="544"/>
      <c r="BQ63" s="544"/>
      <c r="BR63" s="544"/>
      <c r="BS63" s="544"/>
      <c r="BT63" s="544"/>
      <c r="BU63" s="544"/>
      <c r="BV63" s="544"/>
      <c r="BW63" s="544"/>
      <c r="BX63" s="544"/>
      <c r="BY63" s="544"/>
      <c r="BZ63" s="544"/>
      <c r="CA63" s="544"/>
      <c r="CB63" s="544"/>
      <c r="CC63" s="544"/>
      <c r="CD63" s="544"/>
      <c r="CE63" s="544"/>
      <c r="CF63" s="544"/>
      <c r="CG63" s="544"/>
      <c r="CH63" s="544"/>
      <c r="CI63" s="544"/>
      <c r="CJ63" s="544"/>
    </row>
    <row r="64" spans="1:100">
      <c r="A64" s="540" t="s">
        <v>240</v>
      </c>
      <c r="C64" s="551">
        <v>1.4</v>
      </c>
      <c r="D64" s="553">
        <v>1.3</v>
      </c>
      <c r="E64" s="553">
        <v>1.3</v>
      </c>
      <c r="F64" s="552">
        <v>1.3</v>
      </c>
      <c r="G64" s="552">
        <v>1.3</v>
      </c>
      <c r="H64" s="551">
        <v>1.4</v>
      </c>
      <c r="I64" s="551">
        <v>1.4</v>
      </c>
      <c r="J64" s="551">
        <v>1.4</v>
      </c>
      <c r="K64" s="551">
        <v>1.4</v>
      </c>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4"/>
      <c r="AJ64" s="544"/>
      <c r="AK64" s="544"/>
      <c r="AL64" s="544"/>
      <c r="AM64" s="544"/>
      <c r="AN64" s="544"/>
      <c r="AO64" s="544"/>
      <c r="AP64" s="544"/>
      <c r="AQ64" s="544"/>
      <c r="AR64" s="544"/>
      <c r="AS64" s="544"/>
      <c r="AT64" s="544"/>
      <c r="AU64" s="544"/>
      <c r="AV64" s="544"/>
      <c r="AW64" s="544"/>
      <c r="AX64" s="544"/>
      <c r="AY64" s="544"/>
      <c r="AZ64" s="544"/>
      <c r="BA64" s="544"/>
      <c r="BB64" s="544"/>
      <c r="BC64" s="544"/>
      <c r="BD64" s="544"/>
      <c r="BE64" s="544"/>
      <c r="BF64" s="544"/>
      <c r="BG64" s="544"/>
      <c r="BH64" s="544"/>
      <c r="BI64" s="544"/>
      <c r="BJ64" s="544"/>
      <c r="BK64" s="544"/>
      <c r="BL64" s="544"/>
      <c r="BM64" s="544"/>
      <c r="BN64" s="544"/>
      <c r="BO64" s="544"/>
      <c r="BP64" s="544"/>
      <c r="BQ64" s="544"/>
      <c r="BR64" s="544"/>
      <c r="BS64" s="544"/>
      <c r="BT64" s="544"/>
      <c r="BU64" s="544"/>
      <c r="BV64" s="544"/>
      <c r="BW64" s="544"/>
      <c r="BX64" s="544"/>
      <c r="BY64" s="544"/>
      <c r="BZ64" s="544"/>
      <c r="CA64" s="544"/>
      <c r="CB64" s="544"/>
      <c r="CC64" s="544"/>
      <c r="CD64" s="544"/>
      <c r="CE64" s="544"/>
      <c r="CF64" s="544"/>
      <c r="CG64" s="544"/>
      <c r="CH64" s="544"/>
      <c r="CI64" s="544"/>
      <c r="CJ64" s="544"/>
    </row>
    <row r="65" spans="1:100">
      <c r="A65" s="540" t="s">
        <v>241</v>
      </c>
      <c r="C65" s="551">
        <v>0</v>
      </c>
      <c r="D65" s="553">
        <v>0</v>
      </c>
      <c r="E65" s="553">
        <v>0</v>
      </c>
      <c r="F65" s="552">
        <v>0</v>
      </c>
      <c r="G65" s="552">
        <v>0</v>
      </c>
      <c r="H65" s="551">
        <v>0</v>
      </c>
      <c r="I65" s="551">
        <v>0</v>
      </c>
      <c r="J65" s="551">
        <v>0</v>
      </c>
      <c r="K65" s="551">
        <v>0</v>
      </c>
      <c r="L65" s="54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544"/>
      <c r="AK65" s="544"/>
      <c r="AL65" s="544"/>
      <c r="AM65" s="544"/>
      <c r="AN65" s="544"/>
      <c r="AO65" s="544"/>
      <c r="AP65" s="544"/>
      <c r="AQ65" s="544"/>
      <c r="AR65" s="544"/>
      <c r="AS65" s="544"/>
      <c r="AT65" s="544"/>
      <c r="AU65" s="544"/>
      <c r="AV65" s="544"/>
      <c r="AW65" s="544"/>
      <c r="AX65" s="544"/>
      <c r="AY65" s="544"/>
      <c r="AZ65" s="544"/>
      <c r="BA65" s="544"/>
      <c r="BB65" s="544"/>
      <c r="BC65" s="544"/>
      <c r="BD65" s="544"/>
      <c r="BE65" s="544"/>
      <c r="BF65" s="544"/>
      <c r="BG65" s="544"/>
      <c r="BH65" s="544"/>
      <c r="BI65" s="544"/>
      <c r="BJ65" s="544"/>
      <c r="BK65" s="544"/>
      <c r="BL65" s="544"/>
      <c r="BM65" s="544"/>
      <c r="BN65" s="544"/>
      <c r="BO65" s="544"/>
      <c r="BP65" s="544"/>
      <c r="BQ65" s="544"/>
      <c r="BR65" s="544"/>
      <c r="BS65" s="544"/>
      <c r="BT65" s="544"/>
      <c r="BU65" s="544"/>
      <c r="BV65" s="544"/>
      <c r="BW65" s="544"/>
      <c r="BX65" s="544"/>
      <c r="BY65" s="544"/>
      <c r="BZ65" s="544"/>
      <c r="CA65" s="544"/>
      <c r="CB65" s="544"/>
      <c r="CC65" s="544"/>
      <c r="CD65" s="544"/>
      <c r="CE65" s="544"/>
      <c r="CF65" s="544"/>
      <c r="CG65" s="544"/>
      <c r="CH65" s="544"/>
      <c r="CI65" s="544"/>
      <c r="CJ65" s="544"/>
    </row>
    <row r="66" spans="1:100">
      <c r="A66" s="540" t="s">
        <v>242</v>
      </c>
      <c r="C66" s="551">
        <v>0.5</v>
      </c>
      <c r="D66" s="553">
        <v>0.5</v>
      </c>
      <c r="E66" s="553">
        <v>0.5</v>
      </c>
      <c r="F66" s="552">
        <v>0.5</v>
      </c>
      <c r="G66" s="552">
        <v>0.5</v>
      </c>
      <c r="H66" s="551">
        <v>0.4</v>
      </c>
      <c r="I66" s="551">
        <v>0.4</v>
      </c>
      <c r="J66" s="551">
        <v>0.4</v>
      </c>
      <c r="K66" s="551">
        <v>0.4</v>
      </c>
      <c r="L66" s="544"/>
      <c r="M66" s="544"/>
      <c r="N66" s="544"/>
      <c r="O66" s="544"/>
      <c r="P66" s="544"/>
      <c r="Q66" s="544"/>
      <c r="R66" s="544"/>
      <c r="S66" s="544"/>
      <c r="T66" s="544"/>
      <c r="U66" s="544"/>
      <c r="V66" s="544"/>
      <c r="W66" s="544"/>
      <c r="X66" s="544"/>
      <c r="Y66" s="544"/>
      <c r="Z66" s="544"/>
      <c r="AA66" s="544"/>
      <c r="AB66" s="544"/>
      <c r="AC66" s="544"/>
      <c r="AD66" s="544"/>
      <c r="AE66" s="544"/>
      <c r="AF66" s="544"/>
      <c r="AG66" s="544"/>
      <c r="AH66" s="544"/>
      <c r="AI66" s="544"/>
      <c r="AJ66" s="544"/>
      <c r="AK66" s="544"/>
      <c r="AL66" s="544"/>
      <c r="AM66" s="544"/>
      <c r="AN66" s="544"/>
      <c r="AO66" s="544"/>
      <c r="AP66" s="544"/>
      <c r="AQ66" s="544"/>
      <c r="AR66" s="544"/>
      <c r="AS66" s="544"/>
      <c r="AT66" s="544"/>
      <c r="AU66" s="544"/>
      <c r="AV66" s="544"/>
      <c r="AW66" s="544"/>
      <c r="AX66" s="544"/>
      <c r="AY66" s="544"/>
      <c r="AZ66" s="544"/>
      <c r="BA66" s="544"/>
      <c r="BB66" s="544"/>
      <c r="BC66" s="544"/>
      <c r="BD66" s="544"/>
      <c r="BE66" s="544"/>
      <c r="BF66" s="544"/>
      <c r="BG66" s="544"/>
      <c r="BH66" s="544"/>
      <c r="BI66" s="544"/>
      <c r="BJ66" s="544"/>
      <c r="BK66" s="544"/>
      <c r="BL66" s="544"/>
      <c r="BM66" s="544"/>
      <c r="BN66" s="544"/>
      <c r="BO66" s="544"/>
      <c r="BP66" s="544"/>
      <c r="BQ66" s="544"/>
      <c r="BR66" s="544"/>
      <c r="BS66" s="544"/>
      <c r="BT66" s="544"/>
      <c r="BU66" s="544"/>
      <c r="BV66" s="544"/>
      <c r="BW66" s="544"/>
      <c r="BX66" s="544"/>
      <c r="BY66" s="544"/>
      <c r="BZ66" s="544"/>
      <c r="CA66" s="544"/>
      <c r="CB66" s="544"/>
      <c r="CC66" s="544"/>
      <c r="CD66" s="544"/>
      <c r="CE66" s="544"/>
      <c r="CF66" s="544"/>
      <c r="CG66" s="544"/>
      <c r="CH66" s="544"/>
      <c r="CI66" s="544"/>
      <c r="CJ66" s="544"/>
    </row>
    <row r="67" spans="1:100">
      <c r="A67" s="540" t="s">
        <v>243</v>
      </c>
      <c r="C67" s="551">
        <v>0.4</v>
      </c>
      <c r="D67" s="553">
        <v>0.9</v>
      </c>
      <c r="E67" s="553">
        <v>0.9</v>
      </c>
      <c r="F67" s="552">
        <v>1.2</v>
      </c>
      <c r="G67" s="552">
        <v>1.2</v>
      </c>
      <c r="H67" s="551">
        <v>1.2</v>
      </c>
      <c r="I67" s="551">
        <v>1.2</v>
      </c>
      <c r="J67" s="551">
        <v>1.2</v>
      </c>
      <c r="K67" s="551">
        <v>1.2</v>
      </c>
      <c r="L67" s="544"/>
      <c r="M67" s="544"/>
      <c r="N67" s="544"/>
      <c r="O67" s="544"/>
      <c r="P67" s="544"/>
      <c r="Q67" s="544"/>
      <c r="R67" s="544"/>
      <c r="S67" s="544"/>
      <c r="T67" s="544"/>
      <c r="U67" s="544"/>
      <c r="V67" s="544"/>
      <c r="W67" s="544"/>
      <c r="X67" s="544"/>
      <c r="Y67" s="544"/>
      <c r="Z67" s="544"/>
      <c r="AA67" s="544"/>
      <c r="AB67" s="544"/>
      <c r="AC67" s="544"/>
      <c r="AD67" s="544"/>
      <c r="AE67" s="544"/>
      <c r="AF67" s="544"/>
      <c r="AG67" s="544"/>
      <c r="AH67" s="544"/>
      <c r="AI67" s="544"/>
      <c r="AJ67" s="544"/>
      <c r="AK67" s="544"/>
      <c r="AL67" s="544"/>
      <c r="AM67" s="544"/>
      <c r="AN67" s="544"/>
      <c r="AO67" s="544"/>
      <c r="AP67" s="544"/>
      <c r="AQ67" s="544"/>
      <c r="AR67" s="544"/>
      <c r="AS67" s="544"/>
      <c r="AT67" s="544"/>
      <c r="AU67" s="544"/>
      <c r="AV67" s="544"/>
      <c r="AW67" s="544"/>
      <c r="AX67" s="544"/>
      <c r="AY67" s="544"/>
      <c r="AZ67" s="544"/>
      <c r="BA67" s="544"/>
      <c r="BB67" s="544"/>
      <c r="BC67" s="544"/>
      <c r="BD67" s="544"/>
      <c r="BE67" s="544"/>
      <c r="BF67" s="544"/>
      <c r="BG67" s="544"/>
      <c r="BH67" s="544"/>
      <c r="BI67" s="544"/>
      <c r="BJ67" s="544"/>
      <c r="BK67" s="544"/>
      <c r="BL67" s="544"/>
      <c r="BM67" s="544"/>
      <c r="BN67" s="544"/>
      <c r="BO67" s="544"/>
      <c r="BP67" s="544"/>
      <c r="BQ67" s="544"/>
      <c r="BR67" s="544"/>
      <c r="BS67" s="544"/>
      <c r="BT67" s="544"/>
      <c r="BU67" s="544"/>
      <c r="BV67" s="544"/>
      <c r="BW67" s="544"/>
      <c r="BX67" s="544"/>
      <c r="BY67" s="544"/>
      <c r="BZ67" s="544"/>
      <c r="CA67" s="544"/>
      <c r="CB67" s="544"/>
      <c r="CC67" s="544"/>
      <c r="CD67" s="544"/>
      <c r="CE67" s="544"/>
      <c r="CF67" s="544"/>
      <c r="CG67" s="544"/>
      <c r="CH67" s="544"/>
      <c r="CI67" s="544"/>
      <c r="CJ67" s="544"/>
    </row>
    <row r="68" spans="1:100">
      <c r="C68" s="551" t="s">
        <v>525</v>
      </c>
      <c r="D68" s="553" t="s">
        <v>525</v>
      </c>
      <c r="E68" s="553" t="s">
        <v>525</v>
      </c>
      <c r="F68" s="552" t="s">
        <v>525</v>
      </c>
      <c r="G68" s="552" t="s">
        <v>525</v>
      </c>
      <c r="H68" s="551" t="s">
        <v>525</v>
      </c>
      <c r="I68" s="551" t="s">
        <v>525</v>
      </c>
      <c r="J68" s="551" t="s">
        <v>525</v>
      </c>
      <c r="K68" s="551"/>
      <c r="L68" s="544"/>
      <c r="M68" s="544"/>
      <c r="N68" s="544"/>
      <c r="O68" s="544"/>
      <c r="P68" s="544"/>
      <c r="Q68" s="544"/>
      <c r="R68" s="544"/>
      <c r="S68" s="544"/>
      <c r="T68" s="544"/>
      <c r="U68" s="544"/>
      <c r="V68" s="544"/>
      <c r="W68" s="544"/>
      <c r="X68" s="544"/>
      <c r="Y68" s="544"/>
      <c r="Z68" s="544"/>
      <c r="AA68" s="544"/>
      <c r="AB68" s="544"/>
      <c r="AC68" s="544"/>
      <c r="AD68" s="544"/>
      <c r="AE68" s="544"/>
      <c r="AF68" s="544"/>
      <c r="AG68" s="544"/>
      <c r="AH68" s="544"/>
      <c r="AI68" s="544"/>
      <c r="AJ68" s="544"/>
      <c r="AK68" s="544"/>
      <c r="AL68" s="544"/>
      <c r="AM68" s="544"/>
      <c r="AN68" s="544"/>
      <c r="AO68" s="544"/>
      <c r="AP68" s="544"/>
      <c r="AQ68" s="544"/>
      <c r="AR68" s="544"/>
      <c r="AS68" s="544"/>
      <c r="AT68" s="544"/>
      <c r="AU68" s="544"/>
      <c r="AV68" s="544"/>
      <c r="AW68" s="544"/>
      <c r="AX68" s="544"/>
      <c r="AY68" s="544"/>
      <c r="AZ68" s="544"/>
      <c r="BA68" s="544"/>
      <c r="BB68" s="544"/>
      <c r="BC68" s="544"/>
      <c r="BD68" s="544"/>
      <c r="BE68" s="544"/>
      <c r="BF68" s="544"/>
      <c r="BG68" s="544"/>
      <c r="BH68" s="544"/>
      <c r="BI68" s="544"/>
      <c r="BJ68" s="544"/>
      <c r="BK68" s="544"/>
      <c r="BL68" s="544"/>
      <c r="BM68" s="544"/>
      <c r="BN68" s="544"/>
      <c r="BO68" s="544"/>
      <c r="BP68" s="544"/>
      <c r="BQ68" s="544"/>
      <c r="BR68" s="544"/>
      <c r="BS68" s="544"/>
      <c r="BT68" s="544"/>
      <c r="BU68" s="544"/>
      <c r="BV68" s="544"/>
      <c r="BW68" s="544"/>
      <c r="BX68" s="544"/>
      <c r="BY68" s="544"/>
      <c r="BZ68" s="544"/>
      <c r="CA68" s="544"/>
      <c r="CB68" s="544"/>
      <c r="CC68" s="544"/>
      <c r="CD68" s="544"/>
      <c r="CE68" s="544"/>
      <c r="CF68" s="544"/>
      <c r="CG68" s="544"/>
      <c r="CH68" s="544"/>
      <c r="CI68" s="544"/>
      <c r="CJ68" s="544"/>
    </row>
    <row r="69" spans="1:100" s="554" customFormat="1">
      <c r="A69" s="554" t="s">
        <v>224</v>
      </c>
      <c r="C69" s="557">
        <v>16.899999999999999</v>
      </c>
      <c r="D69" s="559">
        <v>17</v>
      </c>
      <c r="E69" s="559">
        <v>17</v>
      </c>
      <c r="F69" s="558">
        <v>17.600000000000001</v>
      </c>
      <c r="G69" s="558">
        <v>17.600000000000001</v>
      </c>
      <c r="H69" s="557">
        <v>17.7</v>
      </c>
      <c r="I69" s="557">
        <v>17.7</v>
      </c>
      <c r="J69" s="557">
        <v>17.7</v>
      </c>
      <c r="K69" s="557">
        <v>17.7</v>
      </c>
      <c r="L69" s="556"/>
      <c r="M69" s="556"/>
      <c r="N69" s="556"/>
      <c r="O69" s="556"/>
      <c r="P69" s="556"/>
      <c r="Q69" s="556"/>
      <c r="R69" s="556"/>
      <c r="S69" s="556"/>
      <c r="T69" s="556"/>
      <c r="U69" s="556"/>
      <c r="V69" s="556"/>
      <c r="W69" s="556"/>
      <c r="X69" s="556"/>
      <c r="Y69" s="556"/>
      <c r="Z69" s="556"/>
      <c r="AA69" s="556"/>
      <c r="AB69" s="556"/>
      <c r="AC69" s="556"/>
      <c r="AD69" s="556"/>
      <c r="AE69" s="556"/>
      <c r="AF69" s="556"/>
      <c r="AG69" s="556"/>
      <c r="AH69" s="556"/>
      <c r="AI69" s="556"/>
      <c r="AJ69" s="556"/>
      <c r="AK69" s="556"/>
      <c r="AL69" s="556"/>
      <c r="AM69" s="556"/>
      <c r="AN69" s="556"/>
      <c r="AO69" s="556"/>
      <c r="AP69" s="556"/>
      <c r="AQ69" s="556"/>
      <c r="AR69" s="556"/>
      <c r="AS69" s="556"/>
      <c r="AT69" s="556"/>
      <c r="AU69" s="556"/>
      <c r="AV69" s="556"/>
      <c r="AW69" s="556"/>
      <c r="AX69" s="556"/>
      <c r="AY69" s="556"/>
      <c r="AZ69" s="556"/>
      <c r="BA69" s="556"/>
      <c r="BB69" s="556"/>
      <c r="BC69" s="556"/>
      <c r="BD69" s="556"/>
      <c r="BE69" s="556"/>
      <c r="BF69" s="556"/>
      <c r="BG69" s="556"/>
      <c r="BH69" s="556"/>
      <c r="BI69" s="556"/>
      <c r="BJ69" s="556"/>
      <c r="BK69" s="556"/>
      <c r="BL69" s="556"/>
      <c r="BM69" s="556"/>
      <c r="BN69" s="556"/>
      <c r="BO69" s="556"/>
      <c r="BP69" s="556"/>
      <c r="BQ69" s="556"/>
      <c r="BR69" s="556"/>
      <c r="BS69" s="556"/>
      <c r="BT69" s="556"/>
      <c r="BU69" s="556"/>
      <c r="BV69" s="556"/>
      <c r="BW69" s="556"/>
      <c r="BX69" s="556"/>
      <c r="BY69" s="556"/>
      <c r="BZ69" s="556"/>
      <c r="CA69" s="556"/>
      <c r="CB69" s="556"/>
      <c r="CC69" s="556"/>
      <c r="CD69" s="556"/>
      <c r="CE69" s="556"/>
      <c r="CF69" s="556"/>
      <c r="CG69" s="556"/>
      <c r="CH69" s="556"/>
      <c r="CI69" s="556"/>
      <c r="CJ69" s="556"/>
      <c r="CV69" s="555"/>
    </row>
    <row r="70" spans="1:100">
      <c r="A70" s="540" t="s">
        <v>244</v>
      </c>
      <c r="C70" s="551">
        <v>0</v>
      </c>
      <c r="D70" s="553">
        <v>0</v>
      </c>
      <c r="E70" s="553">
        <v>0</v>
      </c>
      <c r="F70" s="552">
        <v>0</v>
      </c>
      <c r="G70" s="552">
        <v>0</v>
      </c>
      <c r="H70" s="551">
        <v>0</v>
      </c>
      <c r="I70" s="551">
        <v>0</v>
      </c>
      <c r="J70" s="551">
        <v>0</v>
      </c>
      <c r="K70" s="551">
        <v>0</v>
      </c>
      <c r="L70" s="544"/>
      <c r="M70" s="544"/>
      <c r="N70" s="544"/>
      <c r="O70" s="544"/>
      <c r="P70" s="544"/>
      <c r="Q70" s="544"/>
      <c r="R70" s="544"/>
      <c r="S70" s="544"/>
      <c r="T70" s="544"/>
      <c r="U70" s="544"/>
      <c r="V70" s="544"/>
      <c r="W70" s="544"/>
      <c r="X70" s="544"/>
      <c r="Y70" s="544"/>
      <c r="Z70" s="544"/>
      <c r="AA70" s="544"/>
      <c r="AB70" s="544"/>
      <c r="AC70" s="544"/>
      <c r="AD70" s="544"/>
      <c r="AE70" s="544"/>
      <c r="AF70" s="544"/>
      <c r="AG70" s="544"/>
      <c r="AH70" s="544"/>
      <c r="AI70" s="544"/>
      <c r="AJ70" s="544"/>
      <c r="AK70" s="544"/>
      <c r="AL70" s="544"/>
      <c r="AM70" s="544"/>
      <c r="AN70" s="544"/>
      <c r="AO70" s="544"/>
      <c r="AP70" s="544"/>
      <c r="AQ70" s="544"/>
      <c r="AR70" s="544"/>
      <c r="AS70" s="544"/>
      <c r="AT70" s="544"/>
      <c r="AU70" s="544"/>
      <c r="AV70" s="544"/>
      <c r="AW70" s="544"/>
      <c r="AX70" s="544"/>
      <c r="AY70" s="544"/>
      <c r="AZ70" s="544"/>
      <c r="BA70" s="544"/>
      <c r="BB70" s="544"/>
      <c r="BC70" s="544"/>
      <c r="BD70" s="544"/>
      <c r="BE70" s="544"/>
      <c r="BF70" s="544"/>
      <c r="BG70" s="544"/>
      <c r="BH70" s="544"/>
      <c r="BI70" s="544"/>
      <c r="BJ70" s="544"/>
      <c r="BK70" s="544"/>
      <c r="BL70" s="544"/>
      <c r="BM70" s="544"/>
      <c r="BN70" s="544"/>
      <c r="BO70" s="544"/>
      <c r="BP70" s="544"/>
      <c r="BQ70" s="544"/>
      <c r="BR70" s="544"/>
      <c r="BS70" s="544"/>
      <c r="BT70" s="544"/>
      <c r="BU70" s="544"/>
      <c r="BV70" s="544"/>
      <c r="BW70" s="544"/>
      <c r="BX70" s="544"/>
      <c r="BY70" s="544"/>
      <c r="BZ70" s="544"/>
      <c r="CA70" s="544"/>
      <c r="CB70" s="544"/>
      <c r="CC70" s="544"/>
      <c r="CD70" s="544"/>
      <c r="CE70" s="544"/>
      <c r="CF70" s="544"/>
      <c r="CG70" s="544"/>
      <c r="CH70" s="544"/>
      <c r="CI70" s="544"/>
      <c r="CJ70" s="544"/>
    </row>
    <row r="71" spans="1:100">
      <c r="A71" s="540" t="s">
        <v>245</v>
      </c>
      <c r="C71" s="551">
        <v>0.1</v>
      </c>
      <c r="D71" s="553">
        <v>0.1</v>
      </c>
      <c r="E71" s="553">
        <v>0.1</v>
      </c>
      <c r="F71" s="552">
        <v>0.1</v>
      </c>
      <c r="G71" s="552">
        <v>0.1</v>
      </c>
      <c r="H71" s="551">
        <v>0.1</v>
      </c>
      <c r="I71" s="551">
        <v>0.1</v>
      </c>
      <c r="J71" s="551">
        <v>0.1</v>
      </c>
      <c r="K71" s="551">
        <v>0.1</v>
      </c>
      <c r="L71" s="544"/>
      <c r="M71" s="544"/>
      <c r="N71" s="544"/>
      <c r="O71" s="544"/>
      <c r="P71" s="544"/>
      <c r="Q71" s="544"/>
      <c r="R71" s="544"/>
      <c r="S71" s="544"/>
      <c r="T71" s="544"/>
      <c r="U71" s="544"/>
      <c r="V71" s="544"/>
      <c r="W71" s="544"/>
      <c r="X71" s="544"/>
      <c r="Y71" s="544"/>
      <c r="Z71" s="544"/>
      <c r="AA71" s="544"/>
      <c r="AB71" s="544"/>
      <c r="AC71" s="544"/>
      <c r="AD71" s="544"/>
      <c r="AE71" s="544"/>
      <c r="AF71" s="544"/>
      <c r="AG71" s="544"/>
      <c r="AH71" s="544"/>
      <c r="AI71" s="544"/>
      <c r="AJ71" s="544"/>
      <c r="AK71" s="544"/>
      <c r="AL71" s="544"/>
      <c r="AM71" s="544"/>
      <c r="AN71" s="544"/>
      <c r="AO71" s="544"/>
      <c r="AP71" s="544"/>
      <c r="AQ71" s="544"/>
      <c r="AR71" s="544"/>
      <c r="AS71" s="544"/>
      <c r="AT71" s="544"/>
      <c r="AU71" s="544"/>
      <c r="AV71" s="544"/>
      <c r="AW71" s="544"/>
      <c r="AX71" s="544"/>
      <c r="AY71" s="544"/>
      <c r="AZ71" s="544"/>
      <c r="BA71" s="544"/>
      <c r="BB71" s="544"/>
      <c r="BC71" s="544"/>
      <c r="BD71" s="544"/>
      <c r="BE71" s="544"/>
      <c r="BF71" s="544"/>
      <c r="BG71" s="544"/>
      <c r="BH71" s="544"/>
      <c r="BI71" s="544"/>
      <c r="BJ71" s="544"/>
      <c r="BK71" s="544"/>
      <c r="BL71" s="544"/>
      <c r="BM71" s="544"/>
      <c r="BN71" s="544"/>
      <c r="BO71" s="544"/>
      <c r="BP71" s="544"/>
      <c r="BQ71" s="544"/>
      <c r="BR71" s="544"/>
      <c r="BS71" s="544"/>
      <c r="BT71" s="544"/>
      <c r="BU71" s="544"/>
      <c r="BV71" s="544"/>
      <c r="BW71" s="544"/>
      <c r="BX71" s="544"/>
      <c r="BY71" s="544"/>
      <c r="BZ71" s="544"/>
      <c r="CA71" s="544"/>
      <c r="CB71" s="544"/>
      <c r="CC71" s="544"/>
      <c r="CD71" s="544"/>
      <c r="CE71" s="544"/>
      <c r="CF71" s="544"/>
      <c r="CG71" s="544"/>
      <c r="CH71" s="544"/>
      <c r="CI71" s="544"/>
      <c r="CJ71" s="544"/>
    </row>
    <row r="72" spans="1:100" s="554" customFormat="1">
      <c r="A72" s="554" t="s">
        <v>246</v>
      </c>
      <c r="C72" s="557">
        <v>8.9</v>
      </c>
      <c r="D72" s="559">
        <v>8.8000000000000007</v>
      </c>
      <c r="E72" s="559">
        <v>8.8000000000000007</v>
      </c>
      <c r="F72" s="558">
        <v>8.9</v>
      </c>
      <c r="G72" s="558">
        <v>8.9</v>
      </c>
      <c r="H72" s="557">
        <v>8.9</v>
      </c>
      <c r="I72" s="557">
        <v>8.9</v>
      </c>
      <c r="J72" s="557">
        <v>8.9</v>
      </c>
      <c r="K72" s="557">
        <v>8.9</v>
      </c>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6"/>
      <c r="AN72" s="556"/>
      <c r="AO72" s="556"/>
      <c r="AP72" s="556"/>
      <c r="AQ72" s="556"/>
      <c r="AR72" s="556"/>
      <c r="AS72" s="556"/>
      <c r="AT72" s="556"/>
      <c r="AU72" s="556"/>
      <c r="AV72" s="556"/>
      <c r="AW72" s="556"/>
      <c r="AX72" s="556"/>
      <c r="AY72" s="556"/>
      <c r="AZ72" s="556"/>
      <c r="BA72" s="556"/>
      <c r="BB72" s="556"/>
      <c r="BC72" s="556"/>
      <c r="BD72" s="556"/>
      <c r="BE72" s="556"/>
      <c r="BF72" s="556"/>
      <c r="BG72" s="556"/>
      <c r="BH72" s="556"/>
      <c r="BI72" s="556"/>
      <c r="BJ72" s="556"/>
      <c r="BK72" s="556"/>
      <c r="BL72" s="556"/>
      <c r="BM72" s="556"/>
      <c r="BN72" s="556"/>
      <c r="BO72" s="556"/>
      <c r="BP72" s="556"/>
      <c r="BQ72" s="556"/>
      <c r="BR72" s="556"/>
      <c r="BS72" s="556"/>
      <c r="BT72" s="556"/>
      <c r="BU72" s="556"/>
      <c r="BV72" s="556"/>
      <c r="BW72" s="556"/>
      <c r="BX72" s="556"/>
      <c r="BY72" s="556"/>
      <c r="BZ72" s="556"/>
      <c r="CA72" s="556"/>
      <c r="CB72" s="556"/>
      <c r="CC72" s="556"/>
      <c r="CD72" s="556"/>
      <c r="CE72" s="556"/>
      <c r="CF72" s="556"/>
      <c r="CG72" s="556"/>
      <c r="CH72" s="556"/>
      <c r="CI72" s="556"/>
      <c r="CJ72" s="556"/>
      <c r="CV72" s="555"/>
    </row>
    <row r="73" spans="1:100">
      <c r="A73" s="540" t="s">
        <v>247</v>
      </c>
      <c r="C73" s="551">
        <v>3</v>
      </c>
      <c r="D73" s="553">
        <v>3.1</v>
      </c>
      <c r="E73" s="553">
        <v>3.1</v>
      </c>
      <c r="F73" s="552">
        <v>3.1</v>
      </c>
      <c r="G73" s="552">
        <v>3.1</v>
      </c>
      <c r="H73" s="551">
        <v>3.1</v>
      </c>
      <c r="I73" s="551">
        <v>3.1</v>
      </c>
      <c r="J73" s="551">
        <v>3.1</v>
      </c>
      <c r="K73" s="551">
        <v>3.1</v>
      </c>
      <c r="L73" s="544"/>
      <c r="M73" s="544"/>
      <c r="N73" s="544"/>
      <c r="O73" s="544"/>
      <c r="P73" s="544"/>
      <c r="Q73" s="544"/>
      <c r="R73" s="544"/>
      <c r="S73" s="544"/>
      <c r="T73" s="544"/>
      <c r="U73" s="544"/>
      <c r="V73" s="544"/>
      <c r="W73" s="544"/>
      <c r="X73" s="544"/>
      <c r="Y73" s="544"/>
      <c r="Z73" s="544"/>
      <c r="AA73" s="544"/>
      <c r="AB73" s="544"/>
      <c r="AC73" s="544"/>
      <c r="AD73" s="544"/>
      <c r="AE73" s="544"/>
      <c r="AF73" s="544"/>
      <c r="AG73" s="544"/>
      <c r="AH73" s="544"/>
      <c r="AI73" s="544"/>
      <c r="AJ73" s="544"/>
      <c r="AK73" s="544"/>
      <c r="AL73" s="544"/>
      <c r="AM73" s="544"/>
      <c r="AN73" s="544"/>
      <c r="AO73" s="544"/>
      <c r="AP73" s="544"/>
      <c r="AQ73" s="544"/>
      <c r="AR73" s="544"/>
      <c r="AS73" s="544"/>
      <c r="AT73" s="544"/>
      <c r="AU73" s="544"/>
      <c r="AV73" s="544"/>
      <c r="AW73" s="544"/>
      <c r="AX73" s="544"/>
      <c r="AY73" s="544"/>
      <c r="AZ73" s="544"/>
      <c r="BA73" s="544"/>
      <c r="BB73" s="544"/>
      <c r="BC73" s="544"/>
      <c r="BD73" s="544"/>
      <c r="BE73" s="544"/>
      <c r="BF73" s="544"/>
      <c r="BG73" s="544"/>
      <c r="BH73" s="544"/>
      <c r="BI73" s="544"/>
      <c r="BJ73" s="544"/>
      <c r="BK73" s="544"/>
      <c r="BL73" s="544"/>
      <c r="BM73" s="544"/>
      <c r="BN73" s="544"/>
      <c r="BO73" s="544"/>
      <c r="BP73" s="544"/>
      <c r="BQ73" s="544"/>
      <c r="BR73" s="544"/>
      <c r="BS73" s="544"/>
      <c r="BT73" s="544"/>
      <c r="BU73" s="544"/>
      <c r="BV73" s="544"/>
      <c r="BW73" s="544"/>
      <c r="BX73" s="544"/>
      <c r="BY73" s="544"/>
      <c r="BZ73" s="544"/>
      <c r="CA73" s="544"/>
      <c r="CB73" s="544"/>
      <c r="CC73" s="544"/>
      <c r="CD73" s="544"/>
      <c r="CE73" s="544"/>
      <c r="CF73" s="544"/>
      <c r="CG73" s="544"/>
      <c r="CH73" s="544"/>
      <c r="CI73" s="544"/>
      <c r="CJ73" s="544"/>
    </row>
    <row r="74" spans="1:100">
      <c r="A74" s="540" t="s">
        <v>248</v>
      </c>
      <c r="C74" s="551">
        <v>2.2000000000000002</v>
      </c>
      <c r="D74" s="553">
        <v>2.2000000000000002</v>
      </c>
      <c r="E74" s="553">
        <v>2.2000000000000002</v>
      </c>
      <c r="F74" s="552">
        <v>2.2000000000000002</v>
      </c>
      <c r="G74" s="552">
        <v>2.2000000000000002</v>
      </c>
      <c r="H74" s="551">
        <v>2.2000000000000002</v>
      </c>
      <c r="I74" s="551">
        <v>2.2000000000000002</v>
      </c>
      <c r="J74" s="551">
        <v>2.2999999999999998</v>
      </c>
      <c r="K74" s="551">
        <v>2.2999999999999998</v>
      </c>
      <c r="L74" s="544"/>
      <c r="M74" s="544"/>
      <c r="N74" s="544"/>
      <c r="O74" s="544"/>
      <c r="P74" s="544"/>
      <c r="Q74" s="544"/>
      <c r="R74" s="544"/>
      <c r="S74" s="544"/>
      <c r="T74" s="544"/>
      <c r="U74" s="544"/>
      <c r="V74" s="544"/>
      <c r="W74" s="544"/>
      <c r="X74" s="544"/>
      <c r="Y74" s="544"/>
      <c r="Z74" s="544"/>
      <c r="AA74" s="544"/>
      <c r="AB74" s="544"/>
      <c r="AC74" s="544"/>
      <c r="AD74" s="544"/>
      <c r="AE74" s="544"/>
      <c r="AF74" s="544"/>
      <c r="AG74" s="544"/>
      <c r="AH74" s="544"/>
      <c r="AI74" s="544"/>
      <c r="AJ74" s="544"/>
      <c r="AK74" s="544"/>
      <c r="AL74" s="544"/>
      <c r="AM74" s="544"/>
      <c r="AN74" s="544"/>
      <c r="AO74" s="544"/>
      <c r="AP74" s="544"/>
      <c r="AQ74" s="544"/>
      <c r="AR74" s="544"/>
      <c r="AS74" s="544"/>
      <c r="AT74" s="544"/>
      <c r="AU74" s="544"/>
      <c r="AV74" s="544"/>
      <c r="AW74" s="544"/>
      <c r="AX74" s="544"/>
      <c r="AY74" s="544"/>
      <c r="AZ74" s="544"/>
      <c r="BA74" s="544"/>
      <c r="BB74" s="544"/>
      <c r="BC74" s="544"/>
      <c r="BD74" s="544"/>
      <c r="BE74" s="544"/>
      <c r="BF74" s="544"/>
      <c r="BG74" s="544"/>
      <c r="BH74" s="544"/>
      <c r="BI74" s="544"/>
      <c r="BJ74" s="544"/>
      <c r="BK74" s="544"/>
      <c r="BL74" s="544"/>
      <c r="BM74" s="544"/>
      <c r="BN74" s="544"/>
      <c r="BO74" s="544"/>
      <c r="BP74" s="544"/>
      <c r="BQ74" s="544"/>
      <c r="BR74" s="544"/>
      <c r="BS74" s="544"/>
      <c r="BT74" s="544"/>
      <c r="BU74" s="544"/>
      <c r="BV74" s="544"/>
      <c r="BW74" s="544"/>
      <c r="BX74" s="544"/>
      <c r="BY74" s="544"/>
      <c r="BZ74" s="544"/>
      <c r="CA74" s="544"/>
      <c r="CB74" s="544"/>
      <c r="CC74" s="544"/>
      <c r="CD74" s="544"/>
      <c r="CE74" s="544"/>
      <c r="CF74" s="544"/>
      <c r="CG74" s="544"/>
      <c r="CH74" s="544"/>
      <c r="CI74" s="544"/>
      <c r="CJ74" s="544"/>
    </row>
    <row r="75" spans="1:100">
      <c r="A75" s="540" t="s">
        <v>249</v>
      </c>
      <c r="C75" s="551">
        <v>0</v>
      </c>
      <c r="D75" s="553">
        <v>0</v>
      </c>
      <c r="E75" s="553">
        <v>0</v>
      </c>
      <c r="F75" s="552">
        <v>0</v>
      </c>
      <c r="G75" s="552">
        <v>0</v>
      </c>
      <c r="H75" s="551">
        <v>0</v>
      </c>
      <c r="I75" s="551">
        <v>0</v>
      </c>
      <c r="J75" s="551">
        <v>0</v>
      </c>
      <c r="K75" s="551">
        <v>0</v>
      </c>
      <c r="L75" s="544"/>
      <c r="M75" s="544"/>
      <c r="N75" s="544"/>
      <c r="O75" s="544"/>
      <c r="P75" s="544"/>
      <c r="Q75" s="544"/>
      <c r="R75" s="544"/>
      <c r="S75" s="544"/>
      <c r="T75" s="544"/>
      <c r="U75" s="544"/>
      <c r="V75" s="544"/>
      <c r="W75" s="544"/>
      <c r="X75" s="544"/>
      <c r="Y75" s="544"/>
      <c r="Z75" s="544"/>
      <c r="AA75" s="544"/>
      <c r="AB75" s="544"/>
      <c r="AC75" s="544"/>
      <c r="AD75" s="544"/>
      <c r="AE75" s="544"/>
      <c r="AF75" s="544"/>
      <c r="AG75" s="544"/>
      <c r="AH75" s="544"/>
      <c r="AI75" s="544"/>
      <c r="AJ75" s="544"/>
      <c r="AK75" s="544"/>
      <c r="AL75" s="544"/>
      <c r="AM75" s="544"/>
      <c r="AN75" s="544"/>
      <c r="AO75" s="544"/>
      <c r="AP75" s="544"/>
      <c r="AQ75" s="544"/>
      <c r="AR75" s="544"/>
      <c r="AS75" s="544"/>
      <c r="AT75" s="544"/>
      <c r="AU75" s="544"/>
      <c r="AV75" s="544"/>
      <c r="AW75" s="544"/>
      <c r="AX75" s="544"/>
      <c r="AY75" s="544"/>
      <c r="AZ75" s="544"/>
      <c r="BA75" s="544"/>
      <c r="BB75" s="544"/>
      <c r="BC75" s="544"/>
      <c r="BD75" s="544"/>
      <c r="BE75" s="544"/>
      <c r="BF75" s="544"/>
      <c r="BG75" s="544"/>
      <c r="BH75" s="544"/>
      <c r="BI75" s="544"/>
      <c r="BJ75" s="544"/>
      <c r="BK75" s="544"/>
      <c r="BL75" s="544"/>
      <c r="BM75" s="544"/>
      <c r="BN75" s="544"/>
      <c r="BO75" s="544"/>
      <c r="BP75" s="544"/>
      <c r="BQ75" s="544"/>
      <c r="BR75" s="544"/>
      <c r="BS75" s="544"/>
      <c r="BT75" s="544"/>
      <c r="BU75" s="544"/>
      <c r="BV75" s="544"/>
      <c r="BW75" s="544"/>
      <c r="BX75" s="544"/>
      <c r="BY75" s="544"/>
      <c r="BZ75" s="544"/>
      <c r="CA75" s="544"/>
      <c r="CB75" s="544"/>
      <c r="CC75" s="544"/>
      <c r="CD75" s="544"/>
      <c r="CE75" s="544"/>
      <c r="CF75" s="544"/>
      <c r="CG75" s="544"/>
      <c r="CH75" s="544"/>
      <c r="CI75" s="544"/>
      <c r="CJ75" s="544"/>
    </row>
    <row r="76" spans="1:100">
      <c r="A76" s="540" t="s">
        <v>250</v>
      </c>
      <c r="C76" s="551">
        <v>1.5</v>
      </c>
      <c r="D76" s="553">
        <v>0.4</v>
      </c>
      <c r="E76" s="553">
        <v>0.4</v>
      </c>
      <c r="F76" s="552">
        <v>0</v>
      </c>
      <c r="G76" s="552">
        <v>0</v>
      </c>
      <c r="H76" s="551">
        <v>0</v>
      </c>
      <c r="I76" s="551">
        <v>0</v>
      </c>
      <c r="J76" s="551">
        <v>0</v>
      </c>
      <c r="K76" s="551">
        <v>0</v>
      </c>
      <c r="L76" s="544"/>
      <c r="M76" s="544"/>
      <c r="N76" s="544"/>
      <c r="O76" s="544"/>
      <c r="P76" s="544"/>
      <c r="Q76" s="544"/>
      <c r="R76" s="544"/>
      <c r="S76" s="544"/>
      <c r="T76" s="544"/>
      <c r="U76" s="544"/>
      <c r="V76" s="544"/>
      <c r="W76" s="544"/>
      <c r="X76" s="544"/>
      <c r="Y76" s="544"/>
      <c r="Z76" s="544"/>
      <c r="AA76" s="544"/>
      <c r="AB76" s="544"/>
      <c r="AC76" s="544"/>
      <c r="AD76" s="544"/>
      <c r="AE76" s="544"/>
      <c r="AF76" s="544"/>
      <c r="AG76" s="544"/>
      <c r="AH76" s="544"/>
      <c r="AI76" s="544"/>
      <c r="AJ76" s="544"/>
      <c r="AK76" s="544"/>
      <c r="AL76" s="544"/>
      <c r="AM76" s="544"/>
      <c r="AN76" s="544"/>
      <c r="AO76" s="544"/>
      <c r="AP76" s="544"/>
      <c r="AQ76" s="544"/>
      <c r="AR76" s="544"/>
      <c r="AS76" s="544"/>
      <c r="AT76" s="544"/>
      <c r="AU76" s="544"/>
      <c r="AV76" s="544"/>
      <c r="AW76" s="544"/>
      <c r="AX76" s="544"/>
      <c r="AY76" s="544"/>
      <c r="AZ76" s="544"/>
      <c r="BA76" s="544"/>
      <c r="BB76" s="544"/>
      <c r="BC76" s="544"/>
      <c r="BD76" s="544"/>
      <c r="BE76" s="544"/>
      <c r="BF76" s="544"/>
      <c r="BG76" s="544"/>
      <c r="BH76" s="544"/>
      <c r="BI76" s="544"/>
      <c r="BJ76" s="544"/>
      <c r="BK76" s="544"/>
      <c r="BL76" s="544"/>
      <c r="BM76" s="544"/>
      <c r="BN76" s="544"/>
      <c r="BO76" s="544"/>
      <c r="BP76" s="544"/>
      <c r="BQ76" s="544"/>
      <c r="BR76" s="544"/>
      <c r="BS76" s="544"/>
      <c r="BT76" s="544"/>
      <c r="BU76" s="544"/>
      <c r="BV76" s="544"/>
      <c r="BW76" s="544"/>
      <c r="BX76" s="544"/>
      <c r="BY76" s="544"/>
      <c r="BZ76" s="544"/>
      <c r="CA76" s="544"/>
      <c r="CB76" s="544"/>
      <c r="CC76" s="544"/>
      <c r="CD76" s="544"/>
      <c r="CE76" s="544"/>
      <c r="CF76" s="544"/>
      <c r="CG76" s="544"/>
      <c r="CH76" s="544"/>
      <c r="CI76" s="544"/>
      <c r="CJ76" s="544"/>
    </row>
    <row r="77" spans="1:100">
      <c r="A77" s="540" t="s">
        <v>243</v>
      </c>
      <c r="C77" s="551">
        <v>1.2</v>
      </c>
      <c r="D77" s="553">
        <v>2.4</v>
      </c>
      <c r="E77" s="553">
        <v>2.4</v>
      </c>
      <c r="F77" s="552">
        <v>3.4</v>
      </c>
      <c r="G77" s="552">
        <v>3.4</v>
      </c>
      <c r="H77" s="551">
        <v>3.4</v>
      </c>
      <c r="I77" s="551">
        <v>3.4</v>
      </c>
      <c r="J77" s="551">
        <v>3.4</v>
      </c>
      <c r="K77" s="551">
        <v>3.3</v>
      </c>
      <c r="L77" s="544"/>
      <c r="M77" s="544"/>
      <c r="N77" s="544"/>
      <c r="O77" s="544"/>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4"/>
      <c r="AN77" s="544"/>
      <c r="AO77" s="544"/>
      <c r="AP77" s="544"/>
      <c r="AQ77" s="544"/>
      <c r="AR77" s="544"/>
      <c r="AS77" s="544"/>
      <c r="AT77" s="544"/>
      <c r="AU77" s="544"/>
      <c r="AV77" s="544"/>
      <c r="AW77" s="544"/>
      <c r="AX77" s="544"/>
      <c r="AY77" s="544"/>
      <c r="AZ77" s="544"/>
      <c r="BA77" s="544"/>
      <c r="BB77" s="544"/>
      <c r="BC77" s="544"/>
      <c r="BD77" s="544"/>
      <c r="BE77" s="544"/>
      <c r="BF77" s="544"/>
      <c r="BG77" s="544"/>
      <c r="BH77" s="544"/>
      <c r="BI77" s="544"/>
      <c r="BJ77" s="544"/>
      <c r="BK77" s="544"/>
      <c r="BL77" s="544"/>
      <c r="BM77" s="544"/>
      <c r="BN77" s="544"/>
      <c r="BO77" s="544"/>
      <c r="BP77" s="544"/>
      <c r="BQ77" s="544"/>
      <c r="BR77" s="544"/>
      <c r="BS77" s="544"/>
      <c r="BT77" s="544"/>
      <c r="BU77" s="544"/>
      <c r="BV77" s="544"/>
      <c r="BW77" s="544"/>
      <c r="BX77" s="544"/>
      <c r="BY77" s="544"/>
      <c r="BZ77" s="544"/>
      <c r="CA77" s="544"/>
      <c r="CB77" s="544"/>
      <c r="CC77" s="544"/>
      <c r="CD77" s="544"/>
      <c r="CE77" s="544"/>
      <c r="CF77" s="544"/>
      <c r="CG77" s="544"/>
      <c r="CH77" s="544"/>
      <c r="CI77" s="544"/>
      <c r="CJ77" s="544"/>
    </row>
    <row r="78" spans="1:100">
      <c r="C78" s="551" t="s">
        <v>525</v>
      </c>
      <c r="D78" s="553" t="s">
        <v>525</v>
      </c>
      <c r="E78" s="553" t="s">
        <v>525</v>
      </c>
      <c r="F78" s="552" t="s">
        <v>525</v>
      </c>
      <c r="G78" s="552" t="s">
        <v>525</v>
      </c>
      <c r="H78" s="551" t="s">
        <v>525</v>
      </c>
      <c r="I78" s="551" t="s">
        <v>525</v>
      </c>
      <c r="J78" s="551" t="s">
        <v>525</v>
      </c>
      <c r="K78" s="551" t="s">
        <v>525</v>
      </c>
      <c r="L78" s="544"/>
      <c r="M78" s="544"/>
      <c r="N78" s="544"/>
      <c r="O78" s="544"/>
      <c r="P78" s="544"/>
      <c r="Q78" s="544"/>
      <c r="R78" s="544"/>
      <c r="S78" s="544"/>
      <c r="T78" s="544"/>
      <c r="U78" s="544"/>
      <c r="V78" s="544"/>
      <c r="W78" s="544"/>
      <c r="X78" s="544"/>
      <c r="Y78" s="544"/>
      <c r="Z78" s="544"/>
      <c r="AA78" s="544"/>
      <c r="AB78" s="544"/>
      <c r="AC78" s="544"/>
      <c r="AD78" s="544"/>
      <c r="AE78" s="544"/>
      <c r="AF78" s="544"/>
      <c r="AG78" s="544"/>
      <c r="AH78" s="544"/>
      <c r="AI78" s="544"/>
      <c r="AJ78" s="544"/>
      <c r="AK78" s="544"/>
      <c r="AL78" s="544"/>
      <c r="AM78" s="544"/>
      <c r="AN78" s="544"/>
      <c r="AO78" s="544"/>
      <c r="AP78" s="544"/>
      <c r="AQ78" s="544"/>
      <c r="AR78" s="544"/>
      <c r="AS78" s="544"/>
      <c r="AT78" s="544"/>
      <c r="AU78" s="544"/>
      <c r="AV78" s="544"/>
      <c r="AW78" s="544"/>
      <c r="AX78" s="544"/>
      <c r="AY78" s="544"/>
      <c r="AZ78" s="544"/>
      <c r="BA78" s="544"/>
      <c r="BB78" s="544"/>
      <c r="BC78" s="544"/>
      <c r="BD78" s="544"/>
      <c r="BE78" s="544"/>
      <c r="BF78" s="544"/>
      <c r="BG78" s="544"/>
      <c r="BH78" s="544"/>
      <c r="BI78" s="544"/>
      <c r="BJ78" s="544"/>
      <c r="BK78" s="544"/>
      <c r="BL78" s="544"/>
      <c r="BM78" s="544"/>
      <c r="BN78" s="544"/>
      <c r="BO78" s="544"/>
      <c r="BP78" s="544"/>
      <c r="BQ78" s="544"/>
      <c r="BR78" s="544"/>
      <c r="BS78" s="544"/>
      <c r="BT78" s="544"/>
      <c r="BU78" s="544"/>
      <c r="BV78" s="544"/>
      <c r="BW78" s="544"/>
      <c r="BX78" s="544"/>
      <c r="BY78" s="544"/>
      <c r="BZ78" s="544"/>
      <c r="CA78" s="544"/>
      <c r="CB78" s="544"/>
      <c r="CC78" s="544"/>
      <c r="CD78" s="544"/>
      <c r="CE78" s="544"/>
      <c r="CF78" s="544"/>
      <c r="CG78" s="544"/>
      <c r="CH78" s="544"/>
      <c r="CI78" s="544"/>
      <c r="CJ78" s="544"/>
    </row>
    <row r="79" spans="1:100">
      <c r="A79" s="540" t="s">
        <v>251</v>
      </c>
      <c r="C79" s="551">
        <v>1.9</v>
      </c>
      <c r="D79" s="553">
        <v>1.9</v>
      </c>
      <c r="E79" s="553">
        <v>1.9</v>
      </c>
      <c r="F79" s="552">
        <v>1.9</v>
      </c>
      <c r="G79" s="552">
        <v>1.9</v>
      </c>
      <c r="H79" s="551">
        <v>1.9</v>
      </c>
      <c r="I79" s="551">
        <v>1.9</v>
      </c>
      <c r="J79" s="551">
        <v>1.9</v>
      </c>
      <c r="K79" s="551">
        <v>1.9</v>
      </c>
      <c r="L79" s="544"/>
      <c r="M79" s="544"/>
      <c r="N79" s="544"/>
      <c r="O79" s="544"/>
      <c r="P79" s="544"/>
      <c r="Q79" s="544"/>
      <c r="R79" s="544"/>
      <c r="S79" s="544"/>
      <c r="T79" s="544"/>
      <c r="U79" s="544"/>
      <c r="V79" s="544"/>
      <c r="W79" s="544"/>
      <c r="X79" s="544"/>
      <c r="Y79" s="544"/>
      <c r="Z79" s="544"/>
      <c r="AA79" s="544"/>
      <c r="AB79" s="544"/>
      <c r="AC79" s="544"/>
      <c r="AD79" s="544"/>
      <c r="AE79" s="544"/>
      <c r="AF79" s="544"/>
      <c r="AG79" s="544"/>
      <c r="AH79" s="544"/>
      <c r="AI79" s="544"/>
      <c r="AJ79" s="544"/>
      <c r="AK79" s="544"/>
      <c r="AL79" s="544"/>
      <c r="AM79" s="544"/>
      <c r="AN79" s="544"/>
      <c r="AO79" s="544"/>
      <c r="AP79" s="544"/>
      <c r="AQ79" s="544"/>
      <c r="AR79" s="544"/>
      <c r="AS79" s="544"/>
      <c r="AT79" s="544"/>
      <c r="AU79" s="544"/>
      <c r="AV79" s="544"/>
      <c r="AW79" s="544"/>
      <c r="AX79" s="544"/>
      <c r="AY79" s="544"/>
      <c r="AZ79" s="544"/>
      <c r="BA79" s="544"/>
      <c r="BB79" s="544"/>
      <c r="BC79" s="544"/>
      <c r="BD79" s="544"/>
      <c r="BE79" s="544"/>
      <c r="BF79" s="544"/>
      <c r="BG79" s="544"/>
      <c r="BH79" s="544"/>
      <c r="BI79" s="544"/>
      <c r="BJ79" s="544"/>
      <c r="BK79" s="544"/>
      <c r="BL79" s="544"/>
      <c r="BM79" s="544"/>
      <c r="BN79" s="544"/>
      <c r="BO79" s="544"/>
      <c r="BP79" s="544"/>
      <c r="BQ79" s="544"/>
      <c r="BR79" s="544"/>
      <c r="BS79" s="544"/>
      <c r="BT79" s="544"/>
      <c r="BU79" s="544"/>
      <c r="BV79" s="544"/>
      <c r="BW79" s="544"/>
      <c r="BX79" s="544"/>
      <c r="BY79" s="544"/>
      <c r="BZ79" s="544"/>
      <c r="CA79" s="544"/>
      <c r="CB79" s="544"/>
      <c r="CC79" s="544"/>
      <c r="CD79" s="544"/>
      <c r="CE79" s="544"/>
      <c r="CF79" s="544"/>
      <c r="CG79" s="544"/>
      <c r="CH79" s="544"/>
      <c r="CI79" s="544"/>
      <c r="CJ79" s="544"/>
    </row>
    <row r="80" spans="1:100">
      <c r="A80" s="540" t="s">
        <v>252</v>
      </c>
      <c r="C80" s="551">
        <v>1.5</v>
      </c>
      <c r="D80" s="553">
        <v>1.5</v>
      </c>
      <c r="E80" s="553">
        <v>1.5</v>
      </c>
      <c r="F80" s="552">
        <v>1.5</v>
      </c>
      <c r="G80" s="552">
        <v>1.5</v>
      </c>
      <c r="H80" s="551">
        <v>1.5</v>
      </c>
      <c r="I80" s="551">
        <v>1.5</v>
      </c>
      <c r="J80" s="551">
        <v>1.5</v>
      </c>
      <c r="K80" s="551">
        <v>1.5</v>
      </c>
      <c r="L80" s="544"/>
      <c r="M80" s="544"/>
      <c r="N80" s="544"/>
      <c r="O80" s="544"/>
      <c r="P80" s="544"/>
      <c r="Q80" s="544"/>
      <c r="R80" s="544"/>
      <c r="S80" s="544"/>
      <c r="T80" s="544"/>
      <c r="U80" s="544"/>
      <c r="V80" s="544"/>
      <c r="W80" s="544"/>
      <c r="X80" s="544"/>
      <c r="Y80" s="544"/>
      <c r="Z80" s="544"/>
      <c r="AA80" s="544"/>
      <c r="AB80" s="544"/>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544"/>
      <c r="AY80" s="544"/>
      <c r="AZ80" s="544"/>
      <c r="BA80" s="544"/>
      <c r="BB80" s="544"/>
      <c r="BC80" s="544"/>
      <c r="BD80" s="544"/>
      <c r="BE80" s="544"/>
      <c r="BF80" s="544"/>
      <c r="BG80" s="544"/>
      <c r="BH80" s="544"/>
      <c r="BI80" s="544"/>
      <c r="BJ80" s="544"/>
      <c r="BK80" s="544"/>
      <c r="BL80" s="544"/>
      <c r="BM80" s="544"/>
      <c r="BN80" s="544"/>
      <c r="BO80" s="544"/>
      <c r="BP80" s="544"/>
      <c r="BQ80" s="544"/>
      <c r="BR80" s="544"/>
      <c r="BS80" s="544"/>
      <c r="BT80" s="544"/>
      <c r="BU80" s="544"/>
      <c r="BV80" s="544"/>
      <c r="BW80" s="544"/>
      <c r="BX80" s="544"/>
      <c r="BY80" s="544"/>
      <c r="BZ80" s="544"/>
      <c r="CA80" s="544"/>
      <c r="CB80" s="544"/>
      <c r="CC80" s="544"/>
      <c r="CD80" s="544"/>
      <c r="CE80" s="544"/>
      <c r="CF80" s="544"/>
      <c r="CG80" s="544"/>
      <c r="CH80" s="544"/>
      <c r="CI80" s="544"/>
      <c r="CJ80" s="544"/>
    </row>
    <row r="81" spans="1:100">
      <c r="A81" s="540" t="s">
        <v>253</v>
      </c>
      <c r="C81" s="551">
        <v>0.2</v>
      </c>
      <c r="D81" s="553">
        <v>0.3</v>
      </c>
      <c r="E81" s="553">
        <v>0.3</v>
      </c>
      <c r="F81" s="552">
        <v>0.2</v>
      </c>
      <c r="G81" s="552">
        <v>0.2</v>
      </c>
      <c r="H81" s="551">
        <v>0.2</v>
      </c>
      <c r="I81" s="551">
        <v>0.2</v>
      </c>
      <c r="J81" s="551">
        <v>0.2</v>
      </c>
      <c r="K81" s="551">
        <v>0.2</v>
      </c>
      <c r="L81" s="544"/>
      <c r="M81" s="544"/>
      <c r="N81" s="544"/>
      <c r="O81" s="544"/>
      <c r="P81" s="544"/>
      <c r="Q81" s="544"/>
      <c r="R81" s="544"/>
      <c r="S81" s="544"/>
      <c r="T81" s="544"/>
      <c r="U81" s="544"/>
      <c r="V81" s="544"/>
      <c r="W81" s="544"/>
      <c r="X81" s="544"/>
      <c r="Y81" s="544"/>
      <c r="Z81" s="544"/>
      <c r="AA81" s="544"/>
      <c r="AB81" s="544"/>
      <c r="AC81" s="544"/>
      <c r="AD81" s="544"/>
      <c r="AE81" s="544"/>
      <c r="AF81" s="544"/>
      <c r="AG81" s="544"/>
      <c r="AH81" s="544"/>
      <c r="AI81" s="544"/>
      <c r="AJ81" s="544"/>
      <c r="AK81" s="544"/>
      <c r="AL81" s="544"/>
      <c r="AM81" s="544"/>
      <c r="AN81" s="544"/>
      <c r="AO81" s="544"/>
      <c r="AP81" s="544"/>
      <c r="AQ81" s="544"/>
      <c r="AR81" s="544"/>
      <c r="AS81" s="544"/>
      <c r="AT81" s="544"/>
      <c r="AU81" s="544"/>
      <c r="AV81" s="544"/>
      <c r="AW81" s="544"/>
      <c r="AX81" s="544"/>
      <c r="AY81" s="544"/>
      <c r="AZ81" s="544"/>
      <c r="BA81" s="544"/>
      <c r="BB81" s="544"/>
      <c r="BC81" s="544"/>
      <c r="BD81" s="544"/>
      <c r="BE81" s="544"/>
      <c r="BF81" s="544"/>
      <c r="BG81" s="544"/>
      <c r="BH81" s="544"/>
      <c r="BI81" s="544"/>
      <c r="BJ81" s="544"/>
      <c r="BK81" s="544"/>
      <c r="BL81" s="544"/>
      <c r="BM81" s="544"/>
      <c r="BN81" s="544"/>
      <c r="BO81" s="544"/>
      <c r="BP81" s="544"/>
      <c r="BQ81" s="544"/>
      <c r="BR81" s="544"/>
      <c r="BS81" s="544"/>
      <c r="BT81" s="544"/>
      <c r="BU81" s="544"/>
      <c r="BV81" s="544"/>
      <c r="BW81" s="544"/>
      <c r="BX81" s="544"/>
      <c r="BY81" s="544"/>
      <c r="BZ81" s="544"/>
      <c r="CA81" s="544"/>
      <c r="CB81" s="544"/>
      <c r="CC81" s="544"/>
      <c r="CD81" s="544"/>
      <c r="CE81" s="544"/>
      <c r="CF81" s="544"/>
      <c r="CG81" s="544"/>
      <c r="CH81" s="544"/>
      <c r="CI81" s="544"/>
      <c r="CJ81" s="544"/>
    </row>
    <row r="82" spans="1:100">
      <c r="A82" s="540" t="s">
        <v>254</v>
      </c>
      <c r="C82" s="551">
        <v>0.2</v>
      </c>
      <c r="D82" s="553">
        <v>0.2</v>
      </c>
      <c r="E82" s="553">
        <v>0.2</v>
      </c>
      <c r="F82" s="552">
        <v>0.2</v>
      </c>
      <c r="G82" s="552">
        <v>0.2</v>
      </c>
      <c r="H82" s="551">
        <v>0.2</v>
      </c>
      <c r="I82" s="551">
        <v>0.2</v>
      </c>
      <c r="J82" s="551">
        <v>0.2</v>
      </c>
      <c r="K82" s="551">
        <v>0.2</v>
      </c>
      <c r="L82" s="544"/>
      <c r="M82" s="544"/>
      <c r="N82" s="544"/>
      <c r="O82" s="544"/>
      <c r="P82" s="544"/>
      <c r="Q82" s="544"/>
      <c r="R82" s="544"/>
      <c r="S82" s="544"/>
      <c r="T82" s="544"/>
      <c r="U82" s="544"/>
      <c r="V82" s="544"/>
      <c r="W82" s="544"/>
      <c r="X82" s="544"/>
      <c r="Y82" s="544"/>
      <c r="Z82" s="544"/>
      <c r="AA82" s="544"/>
      <c r="AB82" s="544"/>
      <c r="AC82" s="544"/>
      <c r="AD82" s="544"/>
      <c r="AE82" s="544"/>
      <c r="AF82" s="544"/>
      <c r="AG82" s="544"/>
      <c r="AH82" s="544"/>
      <c r="AI82" s="544"/>
      <c r="AJ82" s="544"/>
      <c r="AK82" s="544"/>
      <c r="AL82" s="544"/>
      <c r="AM82" s="544"/>
      <c r="AN82" s="544"/>
      <c r="AO82" s="544"/>
      <c r="AP82" s="544"/>
      <c r="AQ82" s="544"/>
      <c r="AR82" s="544"/>
      <c r="AS82" s="544"/>
      <c r="AT82" s="544"/>
      <c r="AU82" s="544"/>
      <c r="AV82" s="544"/>
      <c r="AW82" s="544"/>
      <c r="AX82" s="544"/>
      <c r="AY82" s="544"/>
      <c r="AZ82" s="544"/>
      <c r="BA82" s="544"/>
      <c r="BB82" s="544"/>
      <c r="BC82" s="544"/>
      <c r="BD82" s="544"/>
      <c r="BE82" s="544"/>
      <c r="BF82" s="544"/>
      <c r="BG82" s="544"/>
      <c r="BH82" s="544"/>
      <c r="BI82" s="544"/>
      <c r="BJ82" s="544"/>
      <c r="BK82" s="544"/>
      <c r="BL82" s="544"/>
      <c r="BM82" s="544"/>
      <c r="BN82" s="544"/>
      <c r="BO82" s="544"/>
      <c r="BP82" s="544"/>
      <c r="BQ82" s="544"/>
      <c r="BR82" s="544"/>
      <c r="BS82" s="544"/>
      <c r="BT82" s="544"/>
      <c r="BU82" s="544"/>
      <c r="BV82" s="544"/>
      <c r="BW82" s="544"/>
      <c r="BX82" s="544"/>
      <c r="BY82" s="544"/>
      <c r="BZ82" s="544"/>
      <c r="CA82" s="544"/>
      <c r="CB82" s="544"/>
      <c r="CC82" s="544"/>
      <c r="CD82" s="544"/>
      <c r="CE82" s="544"/>
      <c r="CF82" s="544"/>
      <c r="CG82" s="544"/>
      <c r="CH82" s="544"/>
      <c r="CI82" s="544"/>
      <c r="CJ82" s="544"/>
    </row>
    <row r="83" spans="1:100">
      <c r="C83" s="551" t="s">
        <v>525</v>
      </c>
      <c r="D83" s="553" t="s">
        <v>525</v>
      </c>
      <c r="E83" s="553"/>
      <c r="F83" s="552" t="s">
        <v>525</v>
      </c>
      <c r="G83" s="552"/>
      <c r="H83" s="551"/>
      <c r="I83" s="551"/>
      <c r="J83" s="551"/>
      <c r="K83" s="551"/>
      <c r="L83" s="544"/>
      <c r="M83" s="544"/>
      <c r="N83" s="544"/>
      <c r="O83" s="544"/>
      <c r="P83" s="544"/>
      <c r="Q83" s="544"/>
      <c r="R83" s="544"/>
      <c r="S83" s="544"/>
      <c r="T83" s="544"/>
      <c r="U83" s="544"/>
      <c r="V83" s="544"/>
      <c r="W83" s="544"/>
      <c r="X83" s="544"/>
      <c r="Y83" s="544"/>
      <c r="Z83" s="544"/>
      <c r="AA83" s="544"/>
      <c r="AB83" s="544"/>
      <c r="AC83" s="544"/>
      <c r="AD83" s="544"/>
      <c r="AE83" s="544"/>
      <c r="AF83" s="544"/>
      <c r="AG83" s="544"/>
      <c r="AH83" s="544"/>
      <c r="AI83" s="544"/>
      <c r="AJ83" s="544"/>
      <c r="AK83" s="544"/>
      <c r="AL83" s="544"/>
      <c r="AM83" s="544"/>
      <c r="AN83" s="544"/>
      <c r="AO83" s="544"/>
      <c r="AP83" s="544"/>
      <c r="AQ83" s="544"/>
      <c r="AR83" s="544"/>
      <c r="AS83" s="544"/>
      <c r="AT83" s="544"/>
      <c r="AU83" s="544"/>
      <c r="AV83" s="544"/>
      <c r="AW83" s="544"/>
      <c r="AX83" s="544"/>
      <c r="AY83" s="544"/>
      <c r="AZ83" s="544"/>
      <c r="BA83" s="544"/>
      <c r="BB83" s="544"/>
      <c r="BC83" s="544"/>
      <c r="BD83" s="544"/>
      <c r="BE83" s="544"/>
      <c r="BF83" s="544"/>
      <c r="BG83" s="544"/>
      <c r="BH83" s="544"/>
      <c r="BI83" s="544"/>
      <c r="BJ83" s="544"/>
      <c r="BK83" s="544"/>
      <c r="BL83" s="544"/>
      <c r="BM83" s="544"/>
      <c r="BN83" s="544"/>
      <c r="BO83" s="544"/>
      <c r="BP83" s="544"/>
      <c r="BQ83" s="544"/>
      <c r="BR83" s="544"/>
      <c r="BS83" s="544"/>
      <c r="BT83" s="544"/>
      <c r="BU83" s="544"/>
      <c r="BV83" s="544"/>
      <c r="BW83" s="544"/>
      <c r="BX83" s="544"/>
      <c r="BY83" s="544"/>
      <c r="BZ83" s="544"/>
      <c r="CA83" s="544"/>
      <c r="CB83" s="544"/>
      <c r="CC83" s="544"/>
      <c r="CD83" s="544"/>
      <c r="CE83" s="544"/>
      <c r="CF83" s="544"/>
      <c r="CG83" s="544"/>
      <c r="CH83" s="544"/>
      <c r="CI83" s="544"/>
      <c r="CJ83" s="544"/>
    </row>
    <row r="84" spans="1:100" s="554" customFormat="1">
      <c r="A84" s="554" t="s">
        <v>226</v>
      </c>
      <c r="C84" s="557">
        <v>31.1</v>
      </c>
      <c r="D84" s="559">
        <v>32.1</v>
      </c>
      <c r="E84" s="559">
        <v>29.3</v>
      </c>
      <c r="F84" s="558">
        <v>31.2</v>
      </c>
      <c r="G84" s="558">
        <v>25</v>
      </c>
      <c r="H84" s="557">
        <v>24.8</v>
      </c>
      <c r="I84" s="557">
        <v>25</v>
      </c>
      <c r="J84" s="557">
        <v>25.8</v>
      </c>
      <c r="K84" s="557">
        <v>27.3</v>
      </c>
      <c r="L84" s="556"/>
      <c r="M84" s="556"/>
      <c r="N84" s="556"/>
      <c r="O84" s="556"/>
      <c r="P84" s="556"/>
      <c r="Q84" s="556"/>
      <c r="R84" s="556"/>
      <c r="S84" s="556"/>
      <c r="T84" s="556"/>
      <c r="U84" s="556"/>
      <c r="V84" s="556"/>
      <c r="W84" s="556"/>
      <c r="X84" s="556"/>
      <c r="Y84" s="556"/>
      <c r="Z84" s="556"/>
      <c r="AA84" s="556"/>
      <c r="AB84" s="556"/>
      <c r="AC84" s="556"/>
      <c r="AD84" s="556"/>
      <c r="AE84" s="556"/>
      <c r="AF84" s="556"/>
      <c r="AG84" s="556"/>
      <c r="AH84" s="556"/>
      <c r="AI84" s="556"/>
      <c r="AJ84" s="556"/>
      <c r="AK84" s="556"/>
      <c r="AL84" s="556"/>
      <c r="AM84" s="556"/>
      <c r="AN84" s="556"/>
      <c r="AO84" s="556"/>
      <c r="AP84" s="556"/>
      <c r="AQ84" s="556"/>
      <c r="AR84" s="556"/>
      <c r="AS84" s="556"/>
      <c r="AT84" s="556"/>
      <c r="AU84" s="556"/>
      <c r="AV84" s="556"/>
      <c r="AW84" s="556"/>
      <c r="AX84" s="556"/>
      <c r="AY84" s="556"/>
      <c r="AZ84" s="556"/>
      <c r="BA84" s="556"/>
      <c r="BB84" s="556"/>
      <c r="BC84" s="556"/>
      <c r="BD84" s="556"/>
      <c r="BE84" s="556"/>
      <c r="BF84" s="556"/>
      <c r="BG84" s="556"/>
      <c r="BH84" s="556"/>
      <c r="BI84" s="556"/>
      <c r="BJ84" s="556"/>
      <c r="BK84" s="556"/>
      <c r="BL84" s="556"/>
      <c r="BM84" s="556"/>
      <c r="BN84" s="556"/>
      <c r="BO84" s="556"/>
      <c r="BP84" s="556"/>
      <c r="BQ84" s="556"/>
      <c r="BR84" s="556"/>
      <c r="BS84" s="556"/>
      <c r="BT84" s="556"/>
      <c r="BU84" s="556"/>
      <c r="BV84" s="556"/>
      <c r="BW84" s="556"/>
      <c r="BX84" s="556"/>
      <c r="BY84" s="556"/>
      <c r="BZ84" s="556"/>
      <c r="CA84" s="556"/>
      <c r="CB84" s="556"/>
      <c r="CC84" s="556"/>
      <c r="CD84" s="556"/>
      <c r="CE84" s="556"/>
      <c r="CF84" s="556"/>
      <c r="CG84" s="556"/>
      <c r="CH84" s="556"/>
      <c r="CI84" s="556"/>
      <c r="CJ84" s="556"/>
      <c r="CV84" s="555"/>
    </row>
    <row r="85" spans="1:100">
      <c r="A85" s="540" t="s">
        <v>227</v>
      </c>
      <c r="C85" s="551">
        <v>7.8</v>
      </c>
      <c r="D85" s="553">
        <v>8</v>
      </c>
      <c r="E85" s="553">
        <v>8</v>
      </c>
      <c r="F85" s="552">
        <v>7.8</v>
      </c>
      <c r="G85" s="552">
        <v>7.8</v>
      </c>
      <c r="H85" s="551">
        <v>7.8</v>
      </c>
      <c r="I85" s="551">
        <v>7.8</v>
      </c>
      <c r="J85" s="551">
        <v>7.8</v>
      </c>
      <c r="K85" s="551">
        <v>7.8</v>
      </c>
      <c r="L85" s="544"/>
      <c r="M85" s="544"/>
      <c r="N85" s="544"/>
      <c r="O85" s="544"/>
      <c r="P85" s="544"/>
      <c r="Q85" s="544"/>
      <c r="R85" s="544"/>
      <c r="S85" s="544"/>
      <c r="T85" s="544"/>
      <c r="U85" s="544"/>
      <c r="V85" s="544"/>
      <c r="W85" s="544"/>
      <c r="X85" s="544"/>
      <c r="Y85" s="544"/>
      <c r="Z85" s="544"/>
      <c r="AA85" s="544"/>
      <c r="AB85" s="544"/>
      <c r="AC85" s="544"/>
      <c r="AD85" s="544"/>
      <c r="AE85" s="544"/>
      <c r="AF85" s="544"/>
      <c r="AG85" s="544"/>
      <c r="AH85" s="544"/>
      <c r="AI85" s="544"/>
      <c r="AJ85" s="544"/>
      <c r="AK85" s="544"/>
      <c r="AL85" s="544"/>
      <c r="AM85" s="544"/>
      <c r="AN85" s="544"/>
      <c r="AO85" s="544"/>
      <c r="AP85" s="544"/>
      <c r="AQ85" s="544"/>
      <c r="AR85" s="544"/>
      <c r="AS85" s="544"/>
      <c r="AT85" s="544"/>
      <c r="AU85" s="544"/>
      <c r="AV85" s="544"/>
      <c r="AW85" s="544"/>
      <c r="AX85" s="544"/>
      <c r="AY85" s="544"/>
      <c r="AZ85" s="544"/>
      <c r="BA85" s="544"/>
      <c r="BB85" s="544"/>
      <c r="BC85" s="544"/>
      <c r="BD85" s="544"/>
      <c r="BE85" s="544"/>
      <c r="BF85" s="544"/>
      <c r="BG85" s="544"/>
      <c r="BH85" s="544"/>
      <c r="BI85" s="544"/>
      <c r="BJ85" s="544"/>
      <c r="BK85" s="544"/>
      <c r="BL85" s="544"/>
      <c r="BM85" s="544"/>
      <c r="BN85" s="544"/>
      <c r="BO85" s="544"/>
      <c r="BP85" s="544"/>
      <c r="BQ85" s="544"/>
      <c r="BR85" s="544"/>
      <c r="BS85" s="544"/>
      <c r="BT85" s="544"/>
      <c r="BU85" s="544"/>
      <c r="BV85" s="544"/>
      <c r="BW85" s="544"/>
      <c r="BX85" s="544"/>
      <c r="BY85" s="544"/>
      <c r="BZ85" s="544"/>
      <c r="CA85" s="544"/>
      <c r="CB85" s="544"/>
      <c r="CC85" s="544"/>
      <c r="CD85" s="544"/>
      <c r="CE85" s="544"/>
      <c r="CF85" s="544"/>
      <c r="CG85" s="544"/>
      <c r="CH85" s="544"/>
      <c r="CI85" s="544"/>
      <c r="CJ85" s="544"/>
    </row>
    <row r="86" spans="1:100">
      <c r="A86" s="540" t="s">
        <v>228</v>
      </c>
      <c r="C86" s="551">
        <v>3.6</v>
      </c>
      <c r="D86" s="553">
        <v>3.7</v>
      </c>
      <c r="E86" s="553">
        <v>3.7</v>
      </c>
      <c r="F86" s="552">
        <v>3.6</v>
      </c>
      <c r="G86" s="552">
        <v>3.6</v>
      </c>
      <c r="H86" s="551">
        <v>3.6</v>
      </c>
      <c r="I86" s="551">
        <v>3.6</v>
      </c>
      <c r="J86" s="551">
        <v>3.6</v>
      </c>
      <c r="K86" s="551">
        <v>3.6</v>
      </c>
      <c r="L86" s="544"/>
      <c r="M86" s="544"/>
      <c r="N86" s="544"/>
      <c r="O86" s="544"/>
      <c r="P86" s="544"/>
      <c r="Q86" s="544"/>
      <c r="R86" s="544"/>
      <c r="S86" s="544"/>
      <c r="T86" s="544"/>
      <c r="U86" s="544"/>
      <c r="V86" s="544"/>
      <c r="W86" s="544"/>
      <c r="X86" s="544"/>
      <c r="Y86" s="544"/>
      <c r="Z86" s="544"/>
      <c r="AA86" s="544"/>
      <c r="AB86" s="544"/>
      <c r="AC86" s="544"/>
      <c r="AD86" s="544"/>
      <c r="AE86" s="544"/>
      <c r="AF86" s="544"/>
      <c r="AG86" s="544"/>
      <c r="AH86" s="544"/>
      <c r="AI86" s="544"/>
      <c r="AJ86" s="544"/>
      <c r="AK86" s="544"/>
      <c r="AL86" s="544"/>
      <c r="AM86" s="544"/>
      <c r="AN86" s="544"/>
      <c r="AO86" s="544"/>
      <c r="AP86" s="544"/>
      <c r="AQ86" s="544"/>
      <c r="AR86" s="544"/>
      <c r="AS86" s="544"/>
      <c r="AT86" s="544"/>
      <c r="AU86" s="544"/>
      <c r="AV86" s="544"/>
      <c r="AW86" s="544"/>
      <c r="AX86" s="544"/>
      <c r="AY86" s="544"/>
      <c r="AZ86" s="544"/>
      <c r="BA86" s="544"/>
      <c r="BB86" s="544"/>
      <c r="BC86" s="544"/>
      <c r="BD86" s="544"/>
      <c r="BE86" s="544"/>
      <c r="BF86" s="544"/>
      <c r="BG86" s="544"/>
      <c r="BH86" s="544"/>
      <c r="BI86" s="544"/>
      <c r="BJ86" s="544"/>
      <c r="BK86" s="544"/>
      <c r="BL86" s="544"/>
      <c r="BM86" s="544"/>
      <c r="BN86" s="544"/>
      <c r="BO86" s="544"/>
      <c r="BP86" s="544"/>
      <c r="BQ86" s="544"/>
      <c r="BR86" s="544"/>
      <c r="BS86" s="544"/>
      <c r="BT86" s="544"/>
      <c r="BU86" s="544"/>
      <c r="BV86" s="544"/>
      <c r="BW86" s="544"/>
      <c r="BX86" s="544"/>
      <c r="BY86" s="544"/>
      <c r="BZ86" s="544"/>
      <c r="CA86" s="544"/>
      <c r="CB86" s="544"/>
      <c r="CC86" s="544"/>
      <c r="CD86" s="544"/>
      <c r="CE86" s="544"/>
      <c r="CF86" s="544"/>
      <c r="CG86" s="544"/>
      <c r="CH86" s="544"/>
      <c r="CI86" s="544"/>
      <c r="CJ86" s="544"/>
    </row>
    <row r="87" spans="1:100">
      <c r="A87" s="540" t="s">
        <v>229</v>
      </c>
      <c r="C87" s="551">
        <v>7.6</v>
      </c>
      <c r="D87" s="553">
        <v>7.5</v>
      </c>
      <c r="E87" s="553">
        <v>5.4</v>
      </c>
      <c r="F87" s="572">
        <v>6.8</v>
      </c>
      <c r="G87" s="572">
        <v>2.5</v>
      </c>
      <c r="H87" s="551">
        <v>2.4</v>
      </c>
      <c r="I87" s="551">
        <v>2.5</v>
      </c>
      <c r="J87" s="551">
        <v>3.4</v>
      </c>
      <c r="K87" s="551">
        <v>4.8</v>
      </c>
      <c r="L87" s="544"/>
      <c r="M87" s="544"/>
      <c r="N87" s="544"/>
      <c r="O87" s="544"/>
      <c r="P87" s="544"/>
      <c r="Q87" s="544"/>
      <c r="R87" s="544"/>
      <c r="S87" s="544"/>
      <c r="T87" s="544"/>
      <c r="U87" s="544"/>
      <c r="V87" s="544"/>
      <c r="W87" s="544"/>
      <c r="X87" s="544"/>
      <c r="Y87" s="544"/>
      <c r="Z87" s="544"/>
      <c r="AA87" s="544"/>
      <c r="AB87" s="544"/>
      <c r="AC87" s="544"/>
      <c r="AD87" s="544"/>
      <c r="AE87" s="544"/>
      <c r="AF87" s="544"/>
      <c r="AG87" s="544"/>
      <c r="AH87" s="544"/>
      <c r="AI87" s="544"/>
      <c r="AJ87" s="544"/>
      <c r="AK87" s="544"/>
      <c r="AL87" s="544"/>
      <c r="AM87" s="544"/>
      <c r="AN87" s="544"/>
      <c r="AO87" s="544"/>
      <c r="AP87" s="544"/>
      <c r="AQ87" s="544"/>
      <c r="AR87" s="544"/>
      <c r="AS87" s="544"/>
      <c r="AT87" s="544"/>
      <c r="AU87" s="544"/>
      <c r="AV87" s="544"/>
      <c r="AW87" s="544"/>
      <c r="AX87" s="544"/>
      <c r="AY87" s="544"/>
      <c r="AZ87" s="544"/>
      <c r="BA87" s="544"/>
      <c r="BB87" s="544"/>
      <c r="BC87" s="544"/>
      <c r="BD87" s="544"/>
      <c r="BE87" s="544"/>
      <c r="BF87" s="544"/>
      <c r="BG87" s="544"/>
      <c r="BH87" s="544"/>
      <c r="BI87" s="544"/>
      <c r="BJ87" s="544"/>
      <c r="BK87" s="544"/>
      <c r="BL87" s="544"/>
      <c r="BM87" s="544"/>
      <c r="BN87" s="544"/>
      <c r="BO87" s="544"/>
      <c r="BP87" s="544"/>
      <c r="BQ87" s="544"/>
      <c r="BR87" s="544"/>
      <c r="BS87" s="544"/>
      <c r="BT87" s="544"/>
      <c r="BU87" s="544"/>
      <c r="BV87" s="544"/>
      <c r="BW87" s="544"/>
      <c r="BX87" s="544"/>
      <c r="BY87" s="544"/>
      <c r="BZ87" s="544"/>
      <c r="CA87" s="544"/>
      <c r="CB87" s="544"/>
      <c r="CC87" s="544"/>
      <c r="CD87" s="544"/>
      <c r="CE87" s="544"/>
      <c r="CF87" s="544"/>
      <c r="CG87" s="544"/>
      <c r="CH87" s="544"/>
      <c r="CI87" s="544"/>
      <c r="CJ87" s="544"/>
    </row>
    <row r="88" spans="1:100">
      <c r="A88" s="540" t="s">
        <v>255</v>
      </c>
      <c r="C88" s="551">
        <v>1.7</v>
      </c>
      <c r="D88" s="553">
        <v>1.5</v>
      </c>
      <c r="E88" s="553">
        <v>0.6</v>
      </c>
      <c r="F88" s="552">
        <v>1</v>
      </c>
      <c r="G88" s="552">
        <v>1.2</v>
      </c>
      <c r="H88" s="551">
        <v>1.2</v>
      </c>
      <c r="I88" s="551">
        <v>1.4</v>
      </c>
      <c r="J88" s="551">
        <v>1.7</v>
      </c>
      <c r="K88" s="551">
        <v>2</v>
      </c>
      <c r="L88" s="544"/>
      <c r="M88" s="544"/>
      <c r="N88" s="544"/>
      <c r="O88" s="544"/>
      <c r="P88" s="544"/>
      <c r="Q88" s="544"/>
      <c r="R88" s="544"/>
      <c r="S88" s="544"/>
      <c r="T88" s="544"/>
      <c r="U88" s="544"/>
      <c r="V88" s="544"/>
      <c r="W88" s="544"/>
      <c r="X88" s="544"/>
      <c r="Y88" s="544"/>
      <c r="Z88" s="544"/>
      <c r="AA88" s="544"/>
      <c r="AB88" s="544"/>
      <c r="AC88" s="544"/>
      <c r="AD88" s="544"/>
      <c r="AE88" s="544"/>
      <c r="AF88" s="544"/>
      <c r="AG88" s="544"/>
      <c r="AH88" s="544"/>
      <c r="AI88" s="544"/>
      <c r="AJ88" s="544"/>
      <c r="AK88" s="544"/>
      <c r="AL88" s="544"/>
      <c r="AM88" s="544"/>
      <c r="AN88" s="544"/>
      <c r="AO88" s="544"/>
      <c r="AP88" s="544"/>
      <c r="AQ88" s="544"/>
      <c r="AR88" s="544"/>
      <c r="AS88" s="544"/>
      <c r="AT88" s="544"/>
      <c r="AU88" s="544"/>
      <c r="AV88" s="544"/>
      <c r="AW88" s="544"/>
      <c r="AX88" s="544"/>
      <c r="AY88" s="544"/>
      <c r="AZ88" s="544"/>
      <c r="BA88" s="544"/>
      <c r="BB88" s="544"/>
      <c r="BC88" s="544"/>
      <c r="BD88" s="544"/>
      <c r="BE88" s="544"/>
      <c r="BF88" s="544"/>
      <c r="BG88" s="544"/>
      <c r="BH88" s="544"/>
      <c r="BI88" s="544"/>
      <c r="BJ88" s="544"/>
      <c r="BK88" s="544"/>
      <c r="BL88" s="544"/>
      <c r="BM88" s="544"/>
      <c r="BN88" s="544"/>
      <c r="BO88" s="544"/>
      <c r="BP88" s="544"/>
      <c r="BQ88" s="544"/>
      <c r="BR88" s="544"/>
      <c r="BS88" s="544"/>
      <c r="BT88" s="544"/>
      <c r="BU88" s="544"/>
      <c r="BV88" s="544"/>
      <c r="BW88" s="544"/>
      <c r="BX88" s="544"/>
      <c r="BY88" s="544"/>
      <c r="BZ88" s="544"/>
      <c r="CA88" s="544"/>
      <c r="CB88" s="544"/>
      <c r="CC88" s="544"/>
      <c r="CD88" s="544"/>
      <c r="CE88" s="544"/>
      <c r="CF88" s="544"/>
      <c r="CG88" s="544"/>
      <c r="CH88" s="544"/>
      <c r="CI88" s="544"/>
      <c r="CJ88" s="544"/>
    </row>
    <row r="89" spans="1:100">
      <c r="A89" s="540" t="s">
        <v>256</v>
      </c>
      <c r="C89" s="551">
        <v>5.9</v>
      </c>
      <c r="D89" s="553">
        <v>6</v>
      </c>
      <c r="E89" s="553">
        <v>4.8</v>
      </c>
      <c r="F89" s="552">
        <v>5.8</v>
      </c>
      <c r="G89" s="552">
        <v>1.3</v>
      </c>
      <c r="H89" s="551">
        <v>1.2</v>
      </c>
      <c r="I89" s="551">
        <v>1.1000000000000001</v>
      </c>
      <c r="J89" s="551">
        <v>1.7</v>
      </c>
      <c r="K89" s="551">
        <v>2.8</v>
      </c>
      <c r="L89" s="544"/>
      <c r="M89" s="544"/>
      <c r="N89" s="544"/>
      <c r="O89" s="544"/>
      <c r="P89" s="544"/>
      <c r="Q89" s="544"/>
      <c r="R89" s="544"/>
      <c r="S89" s="544"/>
      <c r="T89" s="544"/>
      <c r="U89" s="544"/>
      <c r="V89" s="544"/>
      <c r="W89" s="544"/>
      <c r="X89" s="544"/>
      <c r="Y89" s="544"/>
      <c r="Z89" s="544"/>
      <c r="AA89" s="544"/>
      <c r="AB89" s="544"/>
      <c r="AC89" s="544"/>
      <c r="AD89" s="544"/>
      <c r="AE89" s="544"/>
      <c r="AF89" s="544"/>
      <c r="AG89" s="544"/>
      <c r="AH89" s="544"/>
      <c r="AI89" s="544"/>
      <c r="AJ89" s="544"/>
      <c r="AK89" s="544"/>
      <c r="AL89" s="544"/>
      <c r="AM89" s="544"/>
      <c r="AN89" s="544"/>
      <c r="AO89" s="544"/>
      <c r="AP89" s="544"/>
      <c r="AQ89" s="544"/>
      <c r="AR89" s="544"/>
      <c r="AS89" s="544"/>
      <c r="AT89" s="544"/>
      <c r="AU89" s="544"/>
      <c r="AV89" s="544"/>
      <c r="AW89" s="544"/>
      <c r="AX89" s="544"/>
      <c r="AY89" s="544"/>
      <c r="AZ89" s="544"/>
      <c r="BA89" s="544"/>
      <c r="BB89" s="544"/>
      <c r="BC89" s="544"/>
      <c r="BD89" s="544"/>
      <c r="BE89" s="544"/>
      <c r="BF89" s="544"/>
      <c r="BG89" s="544"/>
      <c r="BH89" s="544"/>
      <c r="BI89" s="544"/>
      <c r="BJ89" s="544"/>
      <c r="BK89" s="544"/>
      <c r="BL89" s="544"/>
      <c r="BM89" s="544"/>
      <c r="BN89" s="544"/>
      <c r="BO89" s="544"/>
      <c r="BP89" s="544"/>
      <c r="BQ89" s="544"/>
      <c r="BR89" s="544"/>
      <c r="BS89" s="544"/>
      <c r="BT89" s="544"/>
      <c r="BU89" s="544"/>
      <c r="BV89" s="544"/>
      <c r="BW89" s="544"/>
      <c r="BX89" s="544"/>
      <c r="BY89" s="544"/>
      <c r="BZ89" s="544"/>
      <c r="CA89" s="544"/>
      <c r="CB89" s="544"/>
      <c r="CC89" s="544"/>
      <c r="CD89" s="544"/>
      <c r="CE89" s="544"/>
      <c r="CF89" s="544"/>
      <c r="CG89" s="544"/>
      <c r="CH89" s="544"/>
      <c r="CI89" s="544"/>
      <c r="CJ89" s="544"/>
    </row>
    <row r="90" spans="1:100">
      <c r="A90" s="540" t="s">
        <v>230</v>
      </c>
      <c r="C90" s="574">
        <v>12.1</v>
      </c>
      <c r="D90" s="573">
        <v>13</v>
      </c>
      <c r="E90" s="573">
        <v>12.2</v>
      </c>
      <c r="F90" s="572">
        <v>12.8</v>
      </c>
      <c r="G90" s="572">
        <v>11.1</v>
      </c>
      <c r="H90" s="551">
        <v>11.1</v>
      </c>
      <c r="I90" s="551">
        <v>11</v>
      </c>
      <c r="J90" s="551">
        <v>11.1</v>
      </c>
      <c r="K90" s="551">
        <v>11</v>
      </c>
      <c r="L90" s="544"/>
      <c r="M90" s="544"/>
      <c r="N90" s="544"/>
      <c r="O90" s="544"/>
      <c r="P90" s="544"/>
      <c r="Q90" s="544"/>
      <c r="R90" s="544"/>
      <c r="S90" s="544"/>
      <c r="T90" s="544"/>
      <c r="U90" s="544"/>
      <c r="V90" s="544"/>
      <c r="W90" s="544"/>
      <c r="X90" s="544"/>
      <c r="Y90" s="544"/>
      <c r="Z90" s="544"/>
      <c r="AA90" s="544"/>
      <c r="AB90" s="544"/>
      <c r="AC90" s="544"/>
      <c r="AD90" s="544"/>
      <c r="AE90" s="544"/>
      <c r="AF90" s="544"/>
      <c r="AG90" s="544"/>
      <c r="AH90" s="544"/>
      <c r="AI90" s="544"/>
      <c r="AJ90" s="544"/>
      <c r="AK90" s="544"/>
      <c r="AL90" s="544"/>
      <c r="AM90" s="544"/>
      <c r="AN90" s="544"/>
      <c r="AO90" s="544"/>
      <c r="AP90" s="544"/>
      <c r="AQ90" s="544"/>
      <c r="AR90" s="544"/>
      <c r="AS90" s="544"/>
      <c r="AT90" s="544"/>
      <c r="AU90" s="544"/>
      <c r="AV90" s="544"/>
      <c r="AW90" s="544"/>
      <c r="AX90" s="544"/>
      <c r="AY90" s="544"/>
      <c r="AZ90" s="544"/>
      <c r="BA90" s="544"/>
      <c r="BB90" s="544"/>
      <c r="BC90" s="544"/>
      <c r="BD90" s="544"/>
      <c r="BE90" s="544"/>
      <c r="BF90" s="544"/>
      <c r="BG90" s="544"/>
      <c r="BH90" s="544"/>
      <c r="BI90" s="544"/>
      <c r="BJ90" s="544"/>
      <c r="BK90" s="544"/>
      <c r="BL90" s="544"/>
      <c r="BM90" s="544"/>
      <c r="BN90" s="544"/>
      <c r="BO90" s="544"/>
      <c r="BP90" s="544"/>
      <c r="BQ90" s="544"/>
      <c r="BR90" s="544"/>
      <c r="BS90" s="544"/>
      <c r="BT90" s="544"/>
      <c r="BU90" s="544"/>
      <c r="BV90" s="544"/>
      <c r="BW90" s="544"/>
      <c r="BX90" s="544"/>
      <c r="BY90" s="544"/>
      <c r="BZ90" s="544"/>
      <c r="CA90" s="544"/>
      <c r="CB90" s="544"/>
      <c r="CC90" s="544"/>
      <c r="CD90" s="544"/>
      <c r="CE90" s="544"/>
      <c r="CF90" s="544"/>
      <c r="CG90" s="544"/>
      <c r="CH90" s="544"/>
      <c r="CI90" s="544"/>
      <c r="CJ90" s="544"/>
    </row>
    <row r="91" spans="1:100">
      <c r="A91" s="562" t="s">
        <v>257</v>
      </c>
      <c r="C91" s="551">
        <v>3.6</v>
      </c>
      <c r="D91" s="553">
        <v>3.7</v>
      </c>
      <c r="E91" s="553">
        <v>3.7</v>
      </c>
      <c r="F91" s="552">
        <v>3.6</v>
      </c>
      <c r="G91" s="552">
        <v>3.6</v>
      </c>
      <c r="H91" s="551">
        <v>3.6</v>
      </c>
      <c r="I91" s="551">
        <v>3.6</v>
      </c>
      <c r="J91" s="551">
        <v>3.6</v>
      </c>
      <c r="K91" s="551">
        <v>3.6</v>
      </c>
      <c r="L91" s="544"/>
      <c r="M91" s="544"/>
      <c r="N91" s="544"/>
      <c r="O91" s="544"/>
      <c r="P91" s="544"/>
      <c r="Q91" s="544"/>
      <c r="R91" s="544"/>
      <c r="S91" s="544"/>
      <c r="T91" s="544"/>
      <c r="U91" s="544"/>
      <c r="V91" s="544"/>
      <c r="W91" s="544"/>
      <c r="X91" s="544"/>
      <c r="Y91" s="544"/>
      <c r="Z91" s="544"/>
      <c r="AA91" s="544"/>
      <c r="AB91" s="544"/>
      <c r="AC91" s="544"/>
      <c r="AD91" s="544"/>
      <c r="AE91" s="544"/>
      <c r="AF91" s="544"/>
      <c r="AG91" s="544"/>
      <c r="AH91" s="544"/>
      <c r="AI91" s="544"/>
      <c r="AJ91" s="544"/>
      <c r="AK91" s="544"/>
      <c r="AL91" s="544"/>
      <c r="AM91" s="544"/>
      <c r="AN91" s="544"/>
      <c r="AO91" s="544"/>
      <c r="AP91" s="544"/>
      <c r="AQ91" s="544"/>
      <c r="AR91" s="544"/>
      <c r="AS91" s="544"/>
      <c r="AT91" s="544"/>
      <c r="AU91" s="544"/>
      <c r="AV91" s="544"/>
      <c r="AW91" s="544"/>
      <c r="AX91" s="544"/>
      <c r="AY91" s="544"/>
      <c r="AZ91" s="544"/>
      <c r="BA91" s="544"/>
      <c r="BB91" s="544"/>
      <c r="BC91" s="544"/>
      <c r="BD91" s="544"/>
      <c r="BE91" s="544"/>
      <c r="BF91" s="544"/>
      <c r="BG91" s="544"/>
      <c r="BH91" s="544"/>
      <c r="BI91" s="544"/>
      <c r="BJ91" s="544"/>
      <c r="BK91" s="544"/>
      <c r="BL91" s="544"/>
      <c r="BM91" s="544"/>
      <c r="BN91" s="544"/>
      <c r="BO91" s="544"/>
      <c r="BP91" s="544"/>
      <c r="BQ91" s="544"/>
      <c r="BR91" s="544"/>
      <c r="BS91" s="544"/>
      <c r="BT91" s="544"/>
      <c r="BU91" s="544"/>
      <c r="BV91" s="544"/>
      <c r="BW91" s="544"/>
      <c r="BX91" s="544"/>
      <c r="BY91" s="544"/>
      <c r="BZ91" s="544"/>
      <c r="CA91" s="544"/>
      <c r="CB91" s="544"/>
      <c r="CC91" s="544"/>
      <c r="CD91" s="544"/>
      <c r="CE91" s="544"/>
      <c r="CF91" s="544"/>
      <c r="CG91" s="544"/>
      <c r="CH91" s="544"/>
      <c r="CI91" s="544"/>
      <c r="CJ91" s="544"/>
    </row>
    <row r="92" spans="1:100">
      <c r="A92" s="562" t="s">
        <v>258</v>
      </c>
      <c r="C92" s="551">
        <v>7.6</v>
      </c>
      <c r="D92" s="553">
        <v>8.3000000000000007</v>
      </c>
      <c r="E92" s="553">
        <v>7.6</v>
      </c>
      <c r="F92" s="552">
        <v>8.1999999999999993</v>
      </c>
      <c r="G92" s="552">
        <v>6.6</v>
      </c>
      <c r="H92" s="551">
        <v>6.6</v>
      </c>
      <c r="I92" s="551">
        <v>6.6</v>
      </c>
      <c r="J92" s="551">
        <v>6.6</v>
      </c>
      <c r="K92" s="551">
        <v>6.6</v>
      </c>
      <c r="L92" s="544"/>
      <c r="M92" s="544"/>
      <c r="N92" s="544"/>
      <c r="O92" s="544"/>
      <c r="P92" s="544"/>
      <c r="Q92" s="544"/>
      <c r="R92" s="544"/>
      <c r="S92" s="544"/>
      <c r="T92" s="544"/>
      <c r="U92" s="544"/>
      <c r="V92" s="544"/>
      <c r="W92" s="544"/>
      <c r="X92" s="544"/>
      <c r="Y92" s="544"/>
      <c r="Z92" s="544"/>
      <c r="AA92" s="544"/>
      <c r="AB92" s="544"/>
      <c r="AC92" s="544"/>
      <c r="AD92" s="544"/>
      <c r="AE92" s="544"/>
      <c r="AF92" s="544"/>
      <c r="AG92" s="544"/>
      <c r="AH92" s="544"/>
      <c r="AI92" s="544"/>
      <c r="AJ92" s="544"/>
      <c r="AK92" s="544"/>
      <c r="AL92" s="544"/>
      <c r="AM92" s="544"/>
      <c r="AN92" s="544"/>
      <c r="AO92" s="544"/>
      <c r="AP92" s="544"/>
      <c r="AQ92" s="544"/>
      <c r="AR92" s="544"/>
      <c r="AS92" s="544"/>
      <c r="AT92" s="544"/>
      <c r="AU92" s="544"/>
      <c r="AV92" s="544"/>
      <c r="AW92" s="544"/>
      <c r="AX92" s="544"/>
      <c r="AY92" s="544"/>
      <c r="AZ92" s="544"/>
      <c r="BA92" s="544"/>
      <c r="BB92" s="544"/>
      <c r="BC92" s="544"/>
      <c r="BD92" s="544"/>
      <c r="BE92" s="544"/>
      <c r="BF92" s="544"/>
      <c r="BG92" s="544"/>
      <c r="BH92" s="544"/>
      <c r="BI92" s="544"/>
      <c r="BJ92" s="544"/>
      <c r="BK92" s="544"/>
      <c r="BL92" s="544"/>
      <c r="BM92" s="544"/>
      <c r="BN92" s="544"/>
      <c r="BO92" s="544"/>
      <c r="BP92" s="544"/>
      <c r="BQ92" s="544"/>
      <c r="BR92" s="544"/>
      <c r="BS92" s="544"/>
      <c r="BT92" s="544"/>
      <c r="BU92" s="544"/>
      <c r="BV92" s="544"/>
      <c r="BW92" s="544"/>
      <c r="BX92" s="544"/>
      <c r="BY92" s="544"/>
      <c r="BZ92" s="544"/>
      <c r="CA92" s="544"/>
      <c r="CB92" s="544"/>
      <c r="CC92" s="544"/>
      <c r="CD92" s="544"/>
      <c r="CE92" s="544"/>
      <c r="CF92" s="544"/>
      <c r="CG92" s="544"/>
      <c r="CH92" s="544"/>
      <c r="CI92" s="544"/>
      <c r="CJ92" s="544"/>
    </row>
    <row r="93" spans="1:100">
      <c r="A93" s="562" t="s">
        <v>259</v>
      </c>
      <c r="C93" s="551">
        <v>0.5</v>
      </c>
      <c r="D93" s="553">
        <v>0.6</v>
      </c>
      <c r="E93" s="553">
        <v>0.5</v>
      </c>
      <c r="F93" s="552">
        <v>0.6</v>
      </c>
      <c r="G93" s="552">
        <v>0.5</v>
      </c>
      <c r="H93" s="551">
        <v>0.5</v>
      </c>
      <c r="I93" s="551">
        <v>0.5</v>
      </c>
      <c r="J93" s="551">
        <v>0.5</v>
      </c>
      <c r="K93" s="551">
        <v>0.5</v>
      </c>
      <c r="L93" s="544"/>
      <c r="M93" s="544"/>
      <c r="N93" s="544"/>
      <c r="O93" s="544"/>
      <c r="P93" s="544"/>
      <c r="Q93" s="544"/>
      <c r="R93" s="544"/>
      <c r="S93" s="544"/>
      <c r="T93" s="544"/>
      <c r="U93" s="544"/>
      <c r="V93" s="544"/>
      <c r="W93" s="544"/>
      <c r="X93" s="544"/>
      <c r="Y93" s="544"/>
      <c r="Z93" s="544"/>
      <c r="AA93" s="544"/>
      <c r="AB93" s="544"/>
      <c r="AC93" s="544"/>
      <c r="AD93" s="544"/>
      <c r="AE93" s="544"/>
      <c r="AF93" s="544"/>
      <c r="AG93" s="544"/>
      <c r="AH93" s="544"/>
      <c r="AI93" s="544"/>
      <c r="AJ93" s="544"/>
      <c r="AK93" s="544"/>
      <c r="AL93" s="544"/>
      <c r="AM93" s="544"/>
      <c r="AN93" s="544"/>
      <c r="AO93" s="544"/>
      <c r="AP93" s="544"/>
      <c r="AQ93" s="544"/>
      <c r="AR93" s="544"/>
      <c r="AS93" s="544"/>
      <c r="AT93" s="544"/>
      <c r="AU93" s="544"/>
      <c r="AV93" s="544"/>
      <c r="AW93" s="544"/>
      <c r="AX93" s="544"/>
      <c r="AY93" s="544"/>
      <c r="AZ93" s="544"/>
      <c r="BA93" s="544"/>
      <c r="BB93" s="544"/>
      <c r="BC93" s="544"/>
      <c r="BD93" s="544"/>
      <c r="BE93" s="544"/>
      <c r="BF93" s="544"/>
      <c r="BG93" s="544"/>
      <c r="BH93" s="544"/>
      <c r="BI93" s="544"/>
      <c r="BJ93" s="544"/>
      <c r="BK93" s="544"/>
      <c r="BL93" s="544"/>
      <c r="BM93" s="544"/>
      <c r="BN93" s="544"/>
      <c r="BO93" s="544"/>
      <c r="BP93" s="544"/>
      <c r="BQ93" s="544"/>
      <c r="BR93" s="544"/>
      <c r="BS93" s="544"/>
      <c r="BT93" s="544"/>
      <c r="BU93" s="544"/>
      <c r="BV93" s="544"/>
      <c r="BW93" s="544"/>
      <c r="BX93" s="544"/>
      <c r="BY93" s="544"/>
      <c r="BZ93" s="544"/>
      <c r="CA93" s="544"/>
      <c r="CB93" s="544"/>
      <c r="CC93" s="544"/>
      <c r="CD93" s="544"/>
      <c r="CE93" s="544"/>
      <c r="CF93" s="544"/>
      <c r="CG93" s="544"/>
      <c r="CH93" s="544"/>
      <c r="CI93" s="544"/>
      <c r="CJ93" s="544"/>
    </row>
    <row r="94" spans="1:100">
      <c r="A94" s="562" t="s">
        <v>260</v>
      </c>
      <c r="C94" s="551">
        <v>0.2</v>
      </c>
      <c r="D94" s="553">
        <v>0.2</v>
      </c>
      <c r="E94" s="553">
        <v>0.2</v>
      </c>
      <c r="F94" s="552">
        <v>0.2</v>
      </c>
      <c r="G94" s="552">
        <v>0.2</v>
      </c>
      <c r="H94" s="551">
        <v>0.2</v>
      </c>
      <c r="I94" s="551">
        <v>0.2</v>
      </c>
      <c r="J94" s="551">
        <v>0.2</v>
      </c>
      <c r="K94" s="551">
        <v>0.2</v>
      </c>
      <c r="L94" s="544"/>
      <c r="M94" s="544"/>
      <c r="N94" s="544"/>
      <c r="O94" s="544"/>
      <c r="P94" s="544"/>
      <c r="Q94" s="544"/>
      <c r="R94" s="544"/>
      <c r="S94" s="544"/>
      <c r="T94" s="544"/>
      <c r="U94" s="544"/>
      <c r="V94" s="544"/>
      <c r="W94" s="544"/>
      <c r="X94" s="544"/>
      <c r="Y94" s="544"/>
      <c r="Z94" s="544"/>
      <c r="AA94" s="544"/>
      <c r="AB94" s="544"/>
      <c r="AC94" s="544"/>
      <c r="AD94" s="544"/>
      <c r="AE94" s="544"/>
      <c r="AF94" s="544"/>
      <c r="AG94" s="544"/>
      <c r="AH94" s="544"/>
      <c r="AI94" s="544"/>
      <c r="AJ94" s="544"/>
      <c r="AK94" s="544"/>
      <c r="AL94" s="544"/>
      <c r="AM94" s="544"/>
      <c r="AN94" s="544"/>
      <c r="AO94" s="544"/>
      <c r="AP94" s="544"/>
      <c r="AQ94" s="544"/>
      <c r="AR94" s="544"/>
      <c r="AS94" s="544"/>
      <c r="AT94" s="544"/>
      <c r="AU94" s="544"/>
      <c r="AV94" s="544"/>
      <c r="AW94" s="544"/>
      <c r="AX94" s="544"/>
      <c r="AY94" s="544"/>
      <c r="AZ94" s="544"/>
      <c r="BA94" s="544"/>
      <c r="BB94" s="544"/>
      <c r="BC94" s="544"/>
      <c r="BD94" s="544"/>
      <c r="BE94" s="544"/>
      <c r="BF94" s="544"/>
      <c r="BG94" s="544"/>
      <c r="BH94" s="544"/>
      <c r="BI94" s="544"/>
      <c r="BJ94" s="544"/>
      <c r="BK94" s="544"/>
      <c r="BL94" s="544"/>
      <c r="BM94" s="544"/>
      <c r="BN94" s="544"/>
      <c r="BO94" s="544"/>
      <c r="BP94" s="544"/>
      <c r="BQ94" s="544"/>
      <c r="BR94" s="544"/>
      <c r="BS94" s="544"/>
      <c r="BT94" s="544"/>
      <c r="BU94" s="544"/>
      <c r="BV94" s="544"/>
      <c r="BW94" s="544"/>
      <c r="BX94" s="544"/>
      <c r="BY94" s="544"/>
      <c r="BZ94" s="544"/>
      <c r="CA94" s="544"/>
      <c r="CB94" s="544"/>
      <c r="CC94" s="544"/>
      <c r="CD94" s="544"/>
      <c r="CE94" s="544"/>
      <c r="CF94" s="544"/>
      <c r="CG94" s="544"/>
      <c r="CH94" s="544"/>
      <c r="CI94" s="544"/>
      <c r="CJ94" s="544"/>
    </row>
    <row r="95" spans="1:100">
      <c r="A95" s="562" t="s">
        <v>261</v>
      </c>
      <c r="C95" s="551">
        <v>0.2</v>
      </c>
      <c r="D95" s="553">
        <v>0.2</v>
      </c>
      <c r="E95" s="553">
        <v>0.2</v>
      </c>
      <c r="F95" s="552">
        <v>0.2</v>
      </c>
      <c r="G95" s="552">
        <v>0.2</v>
      </c>
      <c r="H95" s="551">
        <v>0.2</v>
      </c>
      <c r="I95" s="551">
        <v>0.2</v>
      </c>
      <c r="J95" s="551">
        <v>0.2</v>
      </c>
      <c r="K95" s="551">
        <v>0.2</v>
      </c>
      <c r="L95" s="544"/>
      <c r="M95" s="544"/>
      <c r="N95" s="544"/>
      <c r="O95" s="544"/>
      <c r="P95" s="544"/>
      <c r="Q95" s="544"/>
      <c r="R95" s="544"/>
      <c r="S95" s="544"/>
      <c r="T95" s="544"/>
      <c r="U95" s="544"/>
      <c r="V95" s="544"/>
      <c r="W95" s="544"/>
      <c r="X95" s="544"/>
      <c r="Y95" s="544"/>
      <c r="Z95" s="544"/>
      <c r="AA95" s="544"/>
      <c r="AB95" s="544"/>
      <c r="AC95" s="544"/>
      <c r="AD95" s="544"/>
      <c r="AE95" s="544"/>
      <c r="AF95" s="544"/>
      <c r="AG95" s="544"/>
      <c r="AH95" s="544"/>
      <c r="AI95" s="544"/>
      <c r="AJ95" s="544"/>
      <c r="AK95" s="544"/>
      <c r="AL95" s="544"/>
      <c r="AM95" s="544"/>
      <c r="AN95" s="544"/>
      <c r="AO95" s="544"/>
      <c r="AP95" s="544"/>
      <c r="AQ95" s="544"/>
      <c r="AR95" s="544"/>
      <c r="AS95" s="544"/>
      <c r="AT95" s="544"/>
      <c r="AU95" s="544"/>
      <c r="AV95" s="544"/>
      <c r="AW95" s="544"/>
      <c r="AX95" s="544"/>
      <c r="AY95" s="544"/>
      <c r="AZ95" s="544"/>
      <c r="BA95" s="544"/>
      <c r="BB95" s="544"/>
      <c r="BC95" s="544"/>
      <c r="BD95" s="544"/>
      <c r="BE95" s="544"/>
      <c r="BF95" s="544"/>
      <c r="BG95" s="544"/>
      <c r="BH95" s="544"/>
      <c r="BI95" s="544"/>
      <c r="BJ95" s="544"/>
      <c r="BK95" s="544"/>
      <c r="BL95" s="544"/>
      <c r="BM95" s="544"/>
      <c r="BN95" s="544"/>
      <c r="BO95" s="544"/>
      <c r="BP95" s="544"/>
      <c r="BQ95" s="544"/>
      <c r="BR95" s="544"/>
      <c r="BS95" s="544"/>
      <c r="BT95" s="544"/>
      <c r="BU95" s="544"/>
      <c r="BV95" s="544"/>
      <c r="BW95" s="544"/>
      <c r="BX95" s="544"/>
      <c r="BY95" s="544"/>
      <c r="BZ95" s="544"/>
      <c r="CA95" s="544"/>
      <c r="CB95" s="544"/>
      <c r="CC95" s="544"/>
      <c r="CD95" s="544"/>
      <c r="CE95" s="544"/>
      <c r="CF95" s="544"/>
      <c r="CG95" s="544"/>
      <c r="CH95" s="544"/>
      <c r="CI95" s="544"/>
      <c r="CJ95" s="544"/>
    </row>
    <row r="96" spans="1:100">
      <c r="C96" s="551" t="s">
        <v>525</v>
      </c>
      <c r="D96" s="553" t="s">
        <v>525</v>
      </c>
      <c r="E96" s="553" t="s">
        <v>525</v>
      </c>
      <c r="F96" s="552" t="s">
        <v>525</v>
      </c>
      <c r="G96" s="552" t="s">
        <v>525</v>
      </c>
      <c r="H96" s="551" t="s">
        <v>525</v>
      </c>
      <c r="I96" s="551" t="s">
        <v>525</v>
      </c>
      <c r="J96" s="551" t="s">
        <v>525</v>
      </c>
      <c r="K96" s="551" t="s">
        <v>525</v>
      </c>
      <c r="L96" s="544"/>
      <c r="M96" s="544"/>
      <c r="N96" s="544"/>
      <c r="O96" s="544"/>
      <c r="P96" s="544"/>
      <c r="Q96" s="544"/>
      <c r="R96" s="544"/>
      <c r="S96" s="544"/>
      <c r="T96" s="544"/>
      <c r="U96" s="544"/>
      <c r="V96" s="544"/>
      <c r="W96" s="544"/>
      <c r="X96" s="544"/>
      <c r="Y96" s="544"/>
      <c r="Z96" s="544"/>
      <c r="AA96" s="544"/>
      <c r="AB96" s="544"/>
      <c r="AC96" s="544"/>
      <c r="AD96" s="544"/>
      <c r="AE96" s="544"/>
      <c r="AF96" s="544"/>
      <c r="AG96" s="544"/>
      <c r="AH96" s="544"/>
      <c r="AI96" s="544"/>
      <c r="AJ96" s="544"/>
      <c r="AK96" s="544"/>
      <c r="AL96" s="544"/>
      <c r="AM96" s="544"/>
      <c r="AN96" s="544"/>
      <c r="AO96" s="544"/>
      <c r="AP96" s="544"/>
      <c r="AQ96" s="544"/>
      <c r="AR96" s="544"/>
      <c r="AS96" s="544"/>
      <c r="AT96" s="544"/>
      <c r="AU96" s="544"/>
      <c r="AV96" s="544"/>
      <c r="AW96" s="544"/>
      <c r="AX96" s="544"/>
      <c r="AY96" s="544"/>
      <c r="AZ96" s="544"/>
      <c r="BA96" s="544"/>
      <c r="BB96" s="544"/>
      <c r="BC96" s="544"/>
      <c r="BD96" s="544"/>
      <c r="BE96" s="544"/>
      <c r="BF96" s="544"/>
      <c r="BG96" s="544"/>
      <c r="BH96" s="544"/>
      <c r="BI96" s="544"/>
      <c r="BJ96" s="544"/>
      <c r="BK96" s="544"/>
      <c r="BL96" s="544"/>
      <c r="BM96" s="544"/>
      <c r="BN96" s="544"/>
      <c r="BO96" s="544"/>
      <c r="BP96" s="544"/>
      <c r="BQ96" s="544"/>
      <c r="BR96" s="544"/>
      <c r="BS96" s="544"/>
      <c r="BT96" s="544"/>
      <c r="BU96" s="544"/>
      <c r="BV96" s="544"/>
      <c r="BW96" s="544"/>
      <c r="BX96" s="544"/>
      <c r="BY96" s="544"/>
      <c r="BZ96" s="544"/>
      <c r="CA96" s="544"/>
      <c r="CB96" s="544"/>
      <c r="CC96" s="544"/>
      <c r="CD96" s="544"/>
      <c r="CE96" s="544"/>
      <c r="CF96" s="544"/>
      <c r="CG96" s="544"/>
      <c r="CH96" s="544"/>
      <c r="CI96" s="544"/>
      <c r="CJ96" s="544"/>
    </row>
    <row r="97" spans="1:100">
      <c r="A97" s="540" t="s">
        <v>231</v>
      </c>
      <c r="C97" s="551">
        <v>1.7</v>
      </c>
      <c r="D97" s="553">
        <v>2.9</v>
      </c>
      <c r="E97" s="553">
        <v>2.7</v>
      </c>
      <c r="F97" s="552">
        <v>2.7</v>
      </c>
      <c r="G97" s="552">
        <v>2.6</v>
      </c>
      <c r="H97" s="551">
        <v>2.8</v>
      </c>
      <c r="I97" s="551">
        <v>2.8</v>
      </c>
      <c r="J97" s="551">
        <v>2.8</v>
      </c>
      <c r="K97" s="551">
        <v>2.7</v>
      </c>
      <c r="L97" s="544"/>
      <c r="M97" s="544"/>
      <c r="N97" s="544"/>
      <c r="O97" s="544"/>
      <c r="P97" s="544"/>
      <c r="Q97" s="544"/>
      <c r="R97" s="544"/>
      <c r="S97" s="544"/>
      <c r="T97" s="544"/>
      <c r="U97" s="544"/>
      <c r="V97" s="544"/>
      <c r="W97" s="544"/>
      <c r="X97" s="544"/>
      <c r="Y97" s="544"/>
      <c r="Z97" s="544"/>
      <c r="AA97" s="544"/>
      <c r="AB97" s="544"/>
      <c r="AC97" s="544"/>
      <c r="AD97" s="544"/>
      <c r="AE97" s="544"/>
      <c r="AF97" s="544"/>
      <c r="AG97" s="544"/>
      <c r="AH97" s="544"/>
      <c r="AI97" s="544"/>
      <c r="AJ97" s="544"/>
      <c r="AK97" s="544"/>
      <c r="AL97" s="544"/>
      <c r="AM97" s="544"/>
      <c r="AN97" s="544"/>
      <c r="AO97" s="544"/>
      <c r="AP97" s="544"/>
      <c r="AQ97" s="544"/>
      <c r="AR97" s="544"/>
      <c r="AS97" s="544"/>
      <c r="AT97" s="544"/>
      <c r="AU97" s="544"/>
      <c r="AV97" s="544"/>
      <c r="AW97" s="544"/>
      <c r="AX97" s="544"/>
      <c r="AY97" s="544"/>
      <c r="AZ97" s="544"/>
      <c r="BA97" s="544"/>
      <c r="BB97" s="544"/>
      <c r="BC97" s="544"/>
      <c r="BD97" s="544"/>
      <c r="BE97" s="544"/>
      <c r="BF97" s="544"/>
      <c r="BG97" s="544"/>
      <c r="BH97" s="544"/>
      <c r="BI97" s="544"/>
      <c r="BJ97" s="544"/>
      <c r="BK97" s="544"/>
      <c r="BL97" s="544"/>
      <c r="BM97" s="544"/>
      <c r="BN97" s="544"/>
      <c r="BO97" s="544"/>
      <c r="BP97" s="544"/>
      <c r="BQ97" s="544"/>
      <c r="BR97" s="544"/>
      <c r="BS97" s="544"/>
      <c r="BT97" s="544"/>
      <c r="BU97" s="544"/>
      <c r="BV97" s="544"/>
      <c r="BW97" s="544"/>
      <c r="BX97" s="544"/>
      <c r="BY97" s="544"/>
      <c r="BZ97" s="544"/>
      <c r="CA97" s="544"/>
      <c r="CB97" s="544"/>
      <c r="CC97" s="544"/>
      <c r="CD97" s="544"/>
      <c r="CE97" s="544"/>
      <c r="CF97" s="544"/>
      <c r="CG97" s="544"/>
      <c r="CH97" s="544"/>
      <c r="CI97" s="544"/>
      <c r="CJ97" s="544"/>
    </row>
    <row r="98" spans="1:100" s="554" customFormat="1">
      <c r="A98" s="554" t="s">
        <v>264</v>
      </c>
      <c r="C98" s="571">
        <v>1.5</v>
      </c>
      <c r="D98" s="570">
        <v>2.7</v>
      </c>
      <c r="E98" s="570">
        <v>2.5</v>
      </c>
      <c r="F98" s="569">
        <v>2.5</v>
      </c>
      <c r="G98" s="569">
        <v>2.2000000000000002</v>
      </c>
      <c r="H98" s="557">
        <v>2.4</v>
      </c>
      <c r="I98" s="557">
        <v>2.4</v>
      </c>
      <c r="J98" s="557">
        <v>2.5</v>
      </c>
      <c r="K98" s="557">
        <v>2.4</v>
      </c>
      <c r="L98" s="556"/>
      <c r="M98" s="556"/>
      <c r="N98" s="556"/>
      <c r="O98" s="556"/>
      <c r="P98" s="556"/>
      <c r="Q98" s="556"/>
      <c r="R98" s="556"/>
      <c r="S98" s="556"/>
      <c r="T98" s="556"/>
      <c r="U98" s="556"/>
      <c r="V98" s="556"/>
      <c r="W98" s="556"/>
      <c r="X98" s="556"/>
      <c r="Y98" s="556"/>
      <c r="Z98" s="556"/>
      <c r="AA98" s="556"/>
      <c r="AB98" s="556"/>
      <c r="AC98" s="556"/>
      <c r="AD98" s="556"/>
      <c r="AE98" s="556"/>
      <c r="AF98" s="556"/>
      <c r="AG98" s="556"/>
      <c r="AH98" s="556"/>
      <c r="AI98" s="556"/>
      <c r="AJ98" s="556"/>
      <c r="AK98" s="556"/>
      <c r="AL98" s="556"/>
      <c r="AM98" s="556"/>
      <c r="AN98" s="556"/>
      <c r="AO98" s="556"/>
      <c r="AP98" s="556"/>
      <c r="AQ98" s="556"/>
      <c r="AR98" s="556"/>
      <c r="AS98" s="556"/>
      <c r="AT98" s="556"/>
      <c r="AU98" s="556"/>
      <c r="AV98" s="556"/>
      <c r="AW98" s="556"/>
      <c r="AX98" s="556"/>
      <c r="AY98" s="556"/>
      <c r="AZ98" s="556"/>
      <c r="BA98" s="556"/>
      <c r="BB98" s="556"/>
      <c r="BC98" s="556"/>
      <c r="BD98" s="556"/>
      <c r="BE98" s="556"/>
      <c r="BF98" s="556"/>
      <c r="BG98" s="556"/>
      <c r="BH98" s="556"/>
      <c r="BI98" s="556"/>
      <c r="BJ98" s="556"/>
      <c r="BK98" s="556"/>
      <c r="BL98" s="556"/>
      <c r="BM98" s="556"/>
      <c r="BN98" s="556"/>
      <c r="BO98" s="556"/>
      <c r="BP98" s="556"/>
      <c r="BQ98" s="556"/>
      <c r="BR98" s="556"/>
      <c r="BS98" s="556"/>
      <c r="BT98" s="556"/>
      <c r="BU98" s="556"/>
      <c r="BV98" s="556"/>
      <c r="BW98" s="556"/>
      <c r="BX98" s="556"/>
      <c r="BY98" s="556"/>
      <c r="BZ98" s="556"/>
      <c r="CA98" s="556"/>
      <c r="CB98" s="556"/>
      <c r="CC98" s="556"/>
      <c r="CD98" s="556"/>
      <c r="CE98" s="556"/>
      <c r="CF98" s="556"/>
      <c r="CG98" s="556"/>
      <c r="CH98" s="556"/>
      <c r="CI98" s="556"/>
      <c r="CJ98" s="556"/>
      <c r="CV98" s="555"/>
    </row>
    <row r="99" spans="1:100">
      <c r="A99" s="540" t="s">
        <v>265</v>
      </c>
      <c r="C99" s="551">
        <v>0.2</v>
      </c>
      <c r="D99" s="553">
        <v>0.2</v>
      </c>
      <c r="E99" s="553">
        <v>0.2</v>
      </c>
      <c r="F99" s="552">
        <v>0.2</v>
      </c>
      <c r="G99" s="552">
        <v>0.4</v>
      </c>
      <c r="H99" s="551">
        <v>0.4</v>
      </c>
      <c r="I99" s="551">
        <v>0.4</v>
      </c>
      <c r="J99" s="551">
        <v>0.4</v>
      </c>
      <c r="K99" s="551">
        <v>0.3</v>
      </c>
      <c r="L99" s="544"/>
      <c r="M99" s="544"/>
      <c r="N99" s="544"/>
      <c r="O99" s="544"/>
      <c r="P99" s="544"/>
      <c r="Q99" s="544"/>
      <c r="R99" s="544"/>
      <c r="S99" s="544"/>
      <c r="T99" s="544"/>
      <c r="U99" s="544"/>
      <c r="V99" s="544"/>
      <c r="W99" s="544"/>
      <c r="X99" s="544"/>
      <c r="Y99" s="544"/>
      <c r="Z99" s="544"/>
      <c r="AA99" s="544"/>
      <c r="AB99" s="544"/>
      <c r="AC99" s="544"/>
      <c r="AD99" s="544"/>
      <c r="AE99" s="544"/>
      <c r="AF99" s="544"/>
      <c r="AG99" s="544"/>
      <c r="AH99" s="544"/>
      <c r="AI99" s="544"/>
      <c r="AJ99" s="544"/>
      <c r="AK99" s="544"/>
      <c r="AL99" s="544"/>
      <c r="AM99" s="544"/>
      <c r="AN99" s="544"/>
      <c r="AO99" s="544"/>
      <c r="AP99" s="544"/>
      <c r="AQ99" s="544"/>
      <c r="AR99" s="544"/>
      <c r="AS99" s="544"/>
      <c r="AT99" s="544"/>
      <c r="AU99" s="544"/>
      <c r="AV99" s="544"/>
      <c r="AW99" s="544"/>
      <c r="AX99" s="544"/>
      <c r="AY99" s="544"/>
      <c r="AZ99" s="544"/>
      <c r="BA99" s="544"/>
      <c r="BB99" s="544"/>
      <c r="BC99" s="544"/>
      <c r="BD99" s="544"/>
      <c r="BE99" s="544"/>
      <c r="BF99" s="544"/>
      <c r="BG99" s="544"/>
      <c r="BH99" s="544"/>
      <c r="BI99" s="544"/>
      <c r="BJ99" s="544"/>
      <c r="BK99" s="544"/>
      <c r="BL99" s="544"/>
      <c r="BM99" s="544"/>
      <c r="BN99" s="544"/>
      <c r="BO99" s="544"/>
      <c r="BP99" s="544"/>
      <c r="BQ99" s="544"/>
      <c r="BR99" s="544"/>
      <c r="BS99" s="544"/>
      <c r="BT99" s="544"/>
      <c r="BU99" s="544"/>
      <c r="BV99" s="544"/>
      <c r="BW99" s="544"/>
      <c r="BX99" s="544"/>
      <c r="BY99" s="544"/>
      <c r="BZ99" s="544"/>
      <c r="CA99" s="544"/>
      <c r="CB99" s="544"/>
      <c r="CC99" s="544"/>
      <c r="CD99" s="544"/>
      <c r="CE99" s="544"/>
      <c r="CF99" s="544"/>
      <c r="CG99" s="544"/>
      <c r="CH99" s="544"/>
      <c r="CI99" s="544"/>
      <c r="CJ99" s="544"/>
    </row>
    <row r="100" spans="1:100">
      <c r="C100" s="551" t="s">
        <v>525</v>
      </c>
      <c r="D100" s="553" t="s">
        <v>525</v>
      </c>
      <c r="E100" s="553" t="s">
        <v>525</v>
      </c>
      <c r="F100" s="552" t="s">
        <v>525</v>
      </c>
      <c r="G100" s="552" t="s">
        <v>525</v>
      </c>
      <c r="H100" s="551" t="s">
        <v>525</v>
      </c>
      <c r="I100" s="551" t="s">
        <v>525</v>
      </c>
      <c r="J100" s="551" t="s">
        <v>525</v>
      </c>
      <c r="K100" s="551" t="s">
        <v>525</v>
      </c>
      <c r="L100" s="544"/>
      <c r="M100" s="544"/>
      <c r="N100" s="544"/>
      <c r="O100" s="544"/>
      <c r="P100" s="544"/>
      <c r="Q100" s="544"/>
      <c r="R100" s="544"/>
      <c r="S100" s="544"/>
      <c r="T100" s="544"/>
      <c r="U100" s="544"/>
      <c r="V100" s="544"/>
      <c r="W100" s="544"/>
      <c r="X100" s="544"/>
      <c r="Y100" s="544"/>
      <c r="Z100" s="544"/>
      <c r="AA100" s="544"/>
      <c r="AB100" s="544"/>
      <c r="AC100" s="544"/>
      <c r="AD100" s="544"/>
      <c r="AE100" s="544"/>
      <c r="AF100" s="544"/>
      <c r="AG100" s="544"/>
      <c r="AH100" s="544"/>
      <c r="AI100" s="544"/>
      <c r="AJ100" s="544"/>
      <c r="AK100" s="544"/>
      <c r="AL100" s="544"/>
      <c r="AM100" s="544"/>
      <c r="AN100" s="544"/>
      <c r="AO100" s="544"/>
      <c r="AP100" s="544"/>
      <c r="AQ100" s="544"/>
      <c r="AR100" s="544"/>
      <c r="AS100" s="544"/>
      <c r="AT100" s="544"/>
      <c r="AU100" s="544"/>
      <c r="AV100" s="544"/>
      <c r="AW100" s="544"/>
      <c r="AX100" s="544"/>
      <c r="AY100" s="544"/>
      <c r="AZ100" s="544"/>
      <c r="BA100" s="544"/>
      <c r="BB100" s="544"/>
      <c r="BC100" s="544"/>
      <c r="BD100" s="544"/>
      <c r="BE100" s="544"/>
      <c r="BF100" s="544"/>
      <c r="BG100" s="544"/>
      <c r="BH100" s="544"/>
      <c r="BI100" s="544"/>
      <c r="BJ100" s="544"/>
      <c r="BK100" s="544"/>
      <c r="BL100" s="544"/>
      <c r="BM100" s="544"/>
      <c r="BN100" s="544"/>
      <c r="BO100" s="544"/>
      <c r="BP100" s="544"/>
      <c r="BQ100" s="544"/>
      <c r="BR100" s="544"/>
      <c r="BS100" s="544"/>
      <c r="BT100" s="544"/>
      <c r="BU100" s="544"/>
      <c r="BV100" s="544"/>
      <c r="BW100" s="544"/>
      <c r="BX100" s="544"/>
      <c r="BY100" s="544"/>
      <c r="BZ100" s="544"/>
      <c r="CA100" s="544"/>
      <c r="CB100" s="544"/>
      <c r="CC100" s="544"/>
      <c r="CD100" s="544"/>
      <c r="CE100" s="544"/>
      <c r="CF100" s="544"/>
      <c r="CG100" s="544"/>
      <c r="CH100" s="544"/>
      <c r="CI100" s="544"/>
      <c r="CJ100" s="544"/>
    </row>
    <row r="101" spans="1:100">
      <c r="A101" s="540" t="s">
        <v>232</v>
      </c>
      <c r="C101" s="551">
        <v>-4.3</v>
      </c>
      <c r="D101" s="570">
        <v>-5.2</v>
      </c>
      <c r="E101" s="570">
        <v>-2.1</v>
      </c>
      <c r="F101" s="569">
        <v>-2.6</v>
      </c>
      <c r="G101" s="569">
        <v>3.6</v>
      </c>
      <c r="H101" s="551">
        <v>3.7</v>
      </c>
      <c r="I101" s="551">
        <v>3.5</v>
      </c>
      <c r="J101" s="551">
        <v>2.6</v>
      </c>
      <c r="K101" s="551">
        <v>1.2</v>
      </c>
      <c r="L101" s="544"/>
      <c r="M101" s="544"/>
      <c r="N101" s="544"/>
      <c r="O101" s="544"/>
      <c r="P101" s="544"/>
      <c r="Q101" s="544"/>
      <c r="R101" s="544"/>
      <c r="S101" s="544"/>
      <c r="T101" s="544"/>
      <c r="U101" s="544"/>
      <c r="V101" s="544"/>
      <c r="W101" s="544"/>
      <c r="X101" s="544"/>
      <c r="Y101" s="544"/>
      <c r="Z101" s="544"/>
      <c r="AA101" s="544"/>
      <c r="AB101" s="544"/>
      <c r="AC101" s="544"/>
      <c r="AD101" s="544"/>
      <c r="AE101" s="544"/>
      <c r="AF101" s="544"/>
      <c r="AG101" s="544"/>
      <c r="AH101" s="544"/>
      <c r="AI101" s="544"/>
      <c r="AJ101" s="544"/>
      <c r="AK101" s="544"/>
      <c r="AL101" s="544"/>
      <c r="AM101" s="544"/>
      <c r="AN101" s="544"/>
      <c r="AO101" s="544"/>
      <c r="AP101" s="544"/>
      <c r="AQ101" s="544"/>
      <c r="AR101" s="544"/>
      <c r="AS101" s="544"/>
      <c r="AT101" s="544"/>
      <c r="AU101" s="544"/>
      <c r="AV101" s="544"/>
      <c r="AW101" s="544"/>
      <c r="AX101" s="544"/>
      <c r="AY101" s="544"/>
      <c r="AZ101" s="544"/>
      <c r="BA101" s="544"/>
      <c r="BB101" s="544"/>
      <c r="BC101" s="544"/>
      <c r="BD101" s="544"/>
      <c r="BE101" s="544"/>
      <c r="BF101" s="544"/>
      <c r="BG101" s="544"/>
      <c r="BH101" s="544"/>
      <c r="BI101" s="544"/>
      <c r="BJ101" s="544"/>
      <c r="BK101" s="544"/>
      <c r="BL101" s="544"/>
      <c r="BM101" s="544"/>
      <c r="BN101" s="544"/>
      <c r="BO101" s="544"/>
      <c r="BP101" s="544"/>
      <c r="BQ101" s="544"/>
      <c r="BR101" s="544"/>
      <c r="BS101" s="544"/>
      <c r="BT101" s="544"/>
      <c r="BU101" s="544"/>
      <c r="BV101" s="544"/>
      <c r="BW101" s="544"/>
      <c r="BX101" s="544"/>
      <c r="BY101" s="544"/>
      <c r="BZ101" s="544"/>
      <c r="CA101" s="544"/>
      <c r="CB101" s="544"/>
      <c r="CC101" s="544"/>
      <c r="CD101" s="544"/>
      <c r="CE101" s="544"/>
      <c r="CF101" s="544"/>
      <c r="CG101" s="544"/>
      <c r="CH101" s="544"/>
      <c r="CI101" s="544"/>
      <c r="CJ101" s="544"/>
    </row>
    <row r="102" spans="1:100">
      <c r="A102" s="540" t="s">
        <v>233</v>
      </c>
      <c r="C102" s="551">
        <v>3.3</v>
      </c>
      <c r="D102" s="553">
        <v>2.2999999999999998</v>
      </c>
      <c r="E102" s="553">
        <v>3.3</v>
      </c>
      <c r="F102" s="552">
        <v>4.2</v>
      </c>
      <c r="G102" s="552">
        <v>6</v>
      </c>
      <c r="H102" s="551">
        <v>6</v>
      </c>
      <c r="I102" s="551">
        <v>6</v>
      </c>
      <c r="J102" s="551">
        <v>6</v>
      </c>
      <c r="K102" s="551">
        <v>6</v>
      </c>
      <c r="L102" s="544"/>
      <c r="M102" s="544"/>
      <c r="N102" s="544"/>
      <c r="O102" s="544"/>
      <c r="P102" s="544"/>
      <c r="Q102" s="544"/>
      <c r="R102" s="544"/>
      <c r="S102" s="544"/>
      <c r="T102" s="544"/>
      <c r="U102" s="544"/>
      <c r="V102" s="544"/>
      <c r="W102" s="544"/>
      <c r="X102" s="544"/>
      <c r="Y102" s="544"/>
      <c r="Z102" s="544"/>
      <c r="AA102" s="544"/>
      <c r="AB102" s="544"/>
      <c r="AC102" s="544"/>
      <c r="AD102" s="544"/>
      <c r="AE102" s="544"/>
      <c r="AF102" s="544"/>
      <c r="AG102" s="544"/>
      <c r="AH102" s="544"/>
      <c r="AI102" s="544"/>
      <c r="AJ102" s="544"/>
      <c r="AK102" s="544"/>
      <c r="AL102" s="544"/>
      <c r="AM102" s="544"/>
      <c r="AN102" s="544"/>
      <c r="AO102" s="544"/>
      <c r="AP102" s="544"/>
      <c r="AQ102" s="544"/>
      <c r="AR102" s="544"/>
      <c r="AS102" s="544"/>
      <c r="AT102" s="544"/>
      <c r="AU102" s="544"/>
      <c r="AV102" s="544"/>
      <c r="AW102" s="544"/>
      <c r="AX102" s="544"/>
      <c r="AY102" s="544"/>
      <c r="AZ102" s="544"/>
      <c r="BA102" s="544"/>
      <c r="BB102" s="544"/>
      <c r="BC102" s="544"/>
      <c r="BD102" s="544"/>
      <c r="BE102" s="544"/>
      <c r="BF102" s="544"/>
      <c r="BG102" s="544"/>
      <c r="BH102" s="544"/>
      <c r="BI102" s="544"/>
      <c r="BJ102" s="544"/>
      <c r="BK102" s="544"/>
      <c r="BL102" s="544"/>
      <c r="BM102" s="544"/>
      <c r="BN102" s="544"/>
      <c r="BO102" s="544"/>
      <c r="BP102" s="544"/>
      <c r="BQ102" s="544"/>
      <c r="BR102" s="544"/>
      <c r="BS102" s="544"/>
      <c r="BT102" s="544"/>
      <c r="BU102" s="544"/>
      <c r="BV102" s="544"/>
      <c r="BW102" s="544"/>
      <c r="BX102" s="544"/>
      <c r="BY102" s="544"/>
      <c r="BZ102" s="544"/>
      <c r="CA102" s="544"/>
      <c r="CB102" s="544"/>
      <c r="CC102" s="544"/>
      <c r="CD102" s="544"/>
      <c r="CE102" s="544"/>
      <c r="CF102" s="544"/>
      <c r="CG102" s="544"/>
      <c r="CH102" s="544"/>
      <c r="CI102" s="544"/>
      <c r="CJ102" s="544"/>
    </row>
  </sheetData>
  <printOptions horizontalCentered="1" verticalCentered="1"/>
  <pageMargins left="0" right="0" top="0" bottom="0" header="0" footer="0"/>
  <pageSetup scale="37" fitToWidth="0" pageOrder="overThenDown" orientation="landscape" cellComments="atEnd"/>
  <headerFooter alignWithMargins="0">
    <oddFooter>&amp;C&amp;L&amp;</oddFooter>
  </headerFooter>
  <colBreaks count="1" manualBreakCount="1">
    <brk id="33"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0"/>
  <sheetViews>
    <sheetView zoomScaleSheetLayoutView="120" workbookViewId="0">
      <selection activeCell="L19" sqref="L19"/>
    </sheetView>
  </sheetViews>
  <sheetFormatPr defaultColWidth="9" defaultRowHeight="15"/>
  <cols>
    <col min="1" max="1" width="43.42578125" style="580" customWidth="1"/>
    <col min="2" max="3" width="9.42578125" style="580" bestFit="1" customWidth="1"/>
    <col min="4" max="4" width="10.140625" style="580" customWidth="1"/>
    <col min="5" max="5" width="10" style="580" customWidth="1"/>
    <col min="6" max="9" width="10.28515625" style="580" bestFit="1" customWidth="1"/>
    <col min="10" max="10" width="9.42578125" style="580" customWidth="1"/>
    <col min="11" max="16384" width="9" style="580"/>
  </cols>
  <sheetData>
    <row r="2" spans="1:16" s="585" customFormat="1">
      <c r="A2" s="586" t="s">
        <v>211</v>
      </c>
      <c r="B2" s="585" t="s">
        <v>212</v>
      </c>
      <c r="C2" s="585" t="s">
        <v>213</v>
      </c>
      <c r="D2" s="585" t="s">
        <v>214</v>
      </c>
      <c r="E2" s="585" t="s">
        <v>215</v>
      </c>
      <c r="F2" s="585" t="s">
        <v>216</v>
      </c>
      <c r="G2" s="585" t="s">
        <v>217</v>
      </c>
      <c r="H2" s="585" t="s">
        <v>218</v>
      </c>
      <c r="I2" s="585" t="s">
        <v>219</v>
      </c>
      <c r="J2" s="585" t="s">
        <v>220</v>
      </c>
    </row>
    <row r="4" spans="1:16">
      <c r="A4" s="584"/>
    </row>
    <row r="5" spans="1:16">
      <c r="A5" s="580" t="s">
        <v>221</v>
      </c>
      <c r="B5" s="581">
        <v>2266.3000000000002</v>
      </c>
      <c r="C5" s="581">
        <v>2494.5</v>
      </c>
      <c r="D5" s="581">
        <v>2675.2</v>
      </c>
      <c r="E5" s="581">
        <v>2900.3</v>
      </c>
      <c r="F5" s="581">
        <v>3151.3</v>
      </c>
      <c r="G5" s="581">
        <v>3276.2</v>
      </c>
      <c r="H5" s="581">
        <v>3416</v>
      </c>
      <c r="I5" s="581">
        <v>3546.6</v>
      </c>
      <c r="J5" s="581">
        <v>3686.1</v>
      </c>
      <c r="P5" s="580" t="s">
        <v>222</v>
      </c>
    </row>
    <row r="6" spans="1:16">
      <c r="A6" s="580" t="s">
        <v>223</v>
      </c>
      <c r="B6" s="581">
        <v>875.6</v>
      </c>
      <c r="C6" s="581">
        <v>970.5</v>
      </c>
      <c r="D6" s="581">
        <v>983.2</v>
      </c>
      <c r="E6" s="581">
        <v>1133.5</v>
      </c>
      <c r="F6" s="581">
        <v>1257.4000000000001</v>
      </c>
      <c r="G6" s="581">
        <v>1300.0999999999999</v>
      </c>
      <c r="H6" s="581">
        <v>1359.8</v>
      </c>
      <c r="I6" s="581">
        <v>1404.8</v>
      </c>
      <c r="J6" s="581">
        <v>1463.1</v>
      </c>
      <c r="P6" s="580" t="s">
        <v>206</v>
      </c>
    </row>
    <row r="7" spans="1:16">
      <c r="B7" s="581"/>
      <c r="C7" s="581"/>
      <c r="D7" s="581"/>
      <c r="E7" s="581"/>
      <c r="F7" s="581"/>
      <c r="G7" s="581"/>
      <c r="H7" s="581"/>
      <c r="I7" s="581"/>
      <c r="J7" s="581"/>
      <c r="P7" s="580" t="s">
        <v>207</v>
      </c>
    </row>
    <row r="8" spans="1:16">
      <c r="A8" s="580" t="s">
        <v>224</v>
      </c>
      <c r="B8" s="581">
        <v>1390.7</v>
      </c>
      <c r="C8" s="581">
        <v>1524</v>
      </c>
      <c r="D8" s="581">
        <v>1691.9</v>
      </c>
      <c r="E8" s="581">
        <v>1766.9</v>
      </c>
      <c r="F8" s="581">
        <v>1893.9</v>
      </c>
      <c r="G8" s="581">
        <v>1976.1</v>
      </c>
      <c r="H8" s="581">
        <v>2056.1999999999998</v>
      </c>
      <c r="I8" s="581">
        <v>2141.9</v>
      </c>
      <c r="J8" s="581">
        <v>2223</v>
      </c>
      <c r="P8" s="580" t="s">
        <v>208</v>
      </c>
    </row>
    <row r="9" spans="1:16">
      <c r="B9" s="581"/>
      <c r="C9" s="581"/>
      <c r="D9" s="581"/>
      <c r="E9" s="581"/>
      <c r="F9" s="581"/>
      <c r="G9" s="581"/>
      <c r="H9" s="581"/>
      <c r="I9" s="581"/>
      <c r="J9" s="581"/>
      <c r="P9" s="580" t="s">
        <v>209</v>
      </c>
    </row>
    <row r="10" spans="1:16">
      <c r="A10" s="584" t="s">
        <v>225</v>
      </c>
      <c r="B10" s="581">
        <v>192.1</v>
      </c>
      <c r="C10" s="581">
        <v>259.5</v>
      </c>
      <c r="D10" s="581">
        <v>189.1</v>
      </c>
      <c r="E10" s="581">
        <v>199.5</v>
      </c>
      <c r="F10" s="581">
        <v>207.4</v>
      </c>
      <c r="G10" s="581">
        <v>214.7</v>
      </c>
      <c r="H10" s="581">
        <v>219.9</v>
      </c>
      <c r="I10" s="581">
        <v>224.5</v>
      </c>
      <c r="J10" s="581">
        <v>234.1</v>
      </c>
      <c r="P10" s="580" t="s">
        <v>210</v>
      </c>
    </row>
    <row r="11" spans="1:16">
      <c r="B11" s="581"/>
      <c r="C11" s="581"/>
      <c r="D11" s="581"/>
      <c r="E11" s="581"/>
      <c r="F11" s="581"/>
      <c r="G11" s="581"/>
      <c r="H11" s="581"/>
      <c r="I11" s="581"/>
      <c r="J11" s="581"/>
    </row>
    <row r="12" spans="1:16">
      <c r="A12" s="580" t="s">
        <v>226</v>
      </c>
      <c r="B12" s="581">
        <v>3085.5</v>
      </c>
      <c r="C12" s="581">
        <v>3053</v>
      </c>
      <c r="D12" s="581">
        <v>3123.7</v>
      </c>
      <c r="E12" s="581">
        <v>3038.5</v>
      </c>
      <c r="F12" s="581">
        <v>2695.9</v>
      </c>
      <c r="G12" s="581">
        <v>2765.3</v>
      </c>
      <c r="H12" s="581">
        <v>2901.5</v>
      </c>
      <c r="I12" s="581">
        <v>3118.1</v>
      </c>
      <c r="J12" s="581">
        <v>3424.7</v>
      </c>
    </row>
    <row r="13" spans="1:16">
      <c r="A13" s="580" t="s">
        <v>227</v>
      </c>
      <c r="B13" s="581">
        <v>787.2</v>
      </c>
      <c r="C13" s="581">
        <v>784.4</v>
      </c>
      <c r="D13" s="581">
        <v>782.2</v>
      </c>
      <c r="E13" s="581">
        <v>826</v>
      </c>
      <c r="F13" s="581">
        <v>841.5</v>
      </c>
      <c r="G13" s="581">
        <v>866.6</v>
      </c>
      <c r="H13" s="581">
        <v>904.3</v>
      </c>
      <c r="I13" s="581">
        <v>938.8</v>
      </c>
      <c r="J13" s="581">
        <v>980.7</v>
      </c>
    </row>
    <row r="14" spans="1:16">
      <c r="A14" s="580" t="s">
        <v>228</v>
      </c>
      <c r="B14" s="581">
        <v>441.3</v>
      </c>
      <c r="C14" s="581">
        <v>385.4</v>
      </c>
      <c r="D14" s="581">
        <v>364.3</v>
      </c>
      <c r="E14" s="581">
        <v>381.1</v>
      </c>
      <c r="F14" s="581">
        <v>387.1</v>
      </c>
      <c r="G14" s="581">
        <v>398.4</v>
      </c>
      <c r="H14" s="581">
        <v>420.6</v>
      </c>
      <c r="I14" s="581">
        <v>432.3</v>
      </c>
      <c r="J14" s="581">
        <v>454.6</v>
      </c>
    </row>
    <row r="15" spans="1:16">
      <c r="A15" s="580" t="s">
        <v>229</v>
      </c>
      <c r="B15" s="581">
        <v>672.5</v>
      </c>
      <c r="C15" s="581">
        <v>741.7</v>
      </c>
      <c r="D15" s="581">
        <v>764.7</v>
      </c>
      <c r="E15" s="581">
        <v>564.5</v>
      </c>
      <c r="F15" s="581">
        <v>267.10000000000002</v>
      </c>
      <c r="G15" s="581">
        <v>265</v>
      </c>
      <c r="H15" s="581">
        <v>293.3</v>
      </c>
      <c r="I15" s="581">
        <v>408</v>
      </c>
      <c r="J15" s="581">
        <v>602.29999999999995</v>
      </c>
    </row>
    <row r="16" spans="1:16">
      <c r="A16" s="580" t="s">
        <v>230</v>
      </c>
      <c r="B16" s="581">
        <v>1184.5</v>
      </c>
      <c r="C16" s="581">
        <v>1141.5</v>
      </c>
      <c r="D16" s="581">
        <v>1212.5</v>
      </c>
      <c r="E16" s="581">
        <v>1266.9000000000001</v>
      </c>
      <c r="F16" s="581">
        <v>1200.2</v>
      </c>
      <c r="G16" s="581">
        <v>1235.3</v>
      </c>
      <c r="H16" s="581">
        <v>1283.3</v>
      </c>
      <c r="I16" s="581">
        <v>1339</v>
      </c>
      <c r="J16" s="581">
        <v>1387</v>
      </c>
    </row>
    <row r="17" spans="1:10">
      <c r="B17" s="581"/>
      <c r="C17" s="581"/>
      <c r="D17" s="581"/>
      <c r="E17" s="581"/>
      <c r="F17" s="581"/>
      <c r="G17" s="581"/>
      <c r="H17" s="581"/>
      <c r="I17" s="581"/>
      <c r="J17" s="581"/>
    </row>
    <row r="18" spans="1:10">
      <c r="A18" s="580" t="s">
        <v>231</v>
      </c>
      <c r="B18" s="581">
        <v>236.3</v>
      </c>
      <c r="C18" s="581">
        <v>225.1</v>
      </c>
      <c r="D18" s="581">
        <v>171.8</v>
      </c>
      <c r="E18" s="581">
        <v>280.39999999999998</v>
      </c>
      <c r="F18" s="581">
        <v>278.89999999999998</v>
      </c>
      <c r="G18" s="581">
        <v>316</v>
      </c>
      <c r="H18" s="581">
        <v>326</v>
      </c>
      <c r="I18" s="581">
        <v>342</v>
      </c>
      <c r="J18" s="581">
        <v>340.2</v>
      </c>
    </row>
    <row r="19" spans="1:10">
      <c r="B19" s="581"/>
      <c r="C19" s="581"/>
      <c r="D19" s="581"/>
      <c r="E19" s="581"/>
      <c r="F19" s="581"/>
      <c r="G19" s="581"/>
      <c r="H19" s="581"/>
      <c r="I19" s="581"/>
      <c r="J19" s="581"/>
    </row>
    <row r="20" spans="1:10">
      <c r="A20" s="580" t="s">
        <v>232</v>
      </c>
      <c r="B20" s="581">
        <v>-863.4</v>
      </c>
      <c r="C20" s="581">
        <v>-524.1</v>
      </c>
      <c r="D20" s="581">
        <v>-431.2</v>
      </c>
      <c r="E20" s="581">
        <v>-219</v>
      </c>
      <c r="F20" s="581">
        <v>383.8</v>
      </c>
      <c r="G20" s="581">
        <v>409.6</v>
      </c>
      <c r="H20" s="581">
        <v>408.4</v>
      </c>
      <c r="I20" s="581">
        <v>311</v>
      </c>
      <c r="J20" s="581">
        <v>155.4</v>
      </c>
    </row>
    <row r="21" spans="1:10">
      <c r="A21" s="580" t="s">
        <v>233</v>
      </c>
      <c r="B21" s="581">
        <v>-190.8</v>
      </c>
      <c r="C21" s="581">
        <v>217.6</v>
      </c>
      <c r="D21" s="581">
        <v>333.5</v>
      </c>
      <c r="E21" s="581">
        <v>345.4</v>
      </c>
      <c r="F21" s="581">
        <v>650.9</v>
      </c>
      <c r="G21" s="581">
        <v>674.5</v>
      </c>
      <c r="H21" s="581">
        <v>701.7</v>
      </c>
      <c r="I21" s="581">
        <v>719</v>
      </c>
      <c r="J21" s="581">
        <v>757.7</v>
      </c>
    </row>
    <row r="23" spans="1:10">
      <c r="A23" s="580" t="s">
        <v>232</v>
      </c>
      <c r="B23" s="583">
        <v>-9</v>
      </c>
      <c r="C23" s="583">
        <v>-5.3</v>
      </c>
      <c r="D23" s="583">
        <v>-4.3</v>
      </c>
      <c r="E23" s="583">
        <v>-2.1</v>
      </c>
      <c r="F23" s="583">
        <v>3.6</v>
      </c>
      <c r="G23" s="583">
        <v>3.7</v>
      </c>
      <c r="H23" s="583">
        <v>3.5</v>
      </c>
      <c r="I23" s="583">
        <v>2.6</v>
      </c>
      <c r="J23" s="583">
        <v>1.2</v>
      </c>
    </row>
    <row r="24" spans="1:10">
      <c r="A24" s="580" t="s">
        <v>233</v>
      </c>
      <c r="B24" s="583">
        <v>-2</v>
      </c>
      <c r="C24" s="583">
        <v>2.2000000000000002</v>
      </c>
      <c r="D24" s="583">
        <v>3.3</v>
      </c>
      <c r="E24" s="583">
        <v>3.3</v>
      </c>
      <c r="F24" s="583">
        <v>6</v>
      </c>
      <c r="G24" s="583">
        <v>6</v>
      </c>
      <c r="H24" s="583">
        <v>6</v>
      </c>
      <c r="I24" s="583">
        <v>6</v>
      </c>
      <c r="J24" s="583">
        <v>6</v>
      </c>
    </row>
    <row r="25" spans="1:10">
      <c r="A25" s="580" t="s">
        <v>234</v>
      </c>
      <c r="B25" s="580">
        <v>9548.7803257972591</v>
      </c>
      <c r="C25" s="580">
        <v>9819.1457965916197</v>
      </c>
      <c r="D25" s="580">
        <v>10044.1606901043</v>
      </c>
      <c r="E25" s="580">
        <v>10368.050041332601</v>
      </c>
      <c r="F25" s="580">
        <v>10773.1401211785</v>
      </c>
      <c r="G25" s="580">
        <v>11168.3729923099</v>
      </c>
      <c r="H25" s="580">
        <v>11615.532496973799</v>
      </c>
      <c r="I25" s="580">
        <v>12080.408086395901</v>
      </c>
      <c r="J25" s="580">
        <v>12563.7624752956</v>
      </c>
    </row>
    <row r="26" spans="1:10">
      <c r="B26" s="582"/>
      <c r="C26" s="582"/>
      <c r="D26" s="582"/>
      <c r="E26" s="582"/>
      <c r="F26" s="582"/>
      <c r="G26" s="582"/>
      <c r="H26" s="582"/>
      <c r="I26" s="582"/>
      <c r="J26" s="582"/>
    </row>
    <row r="27" spans="1:10">
      <c r="E27" s="582"/>
      <c r="F27" s="582"/>
      <c r="G27" s="582"/>
      <c r="H27" s="582"/>
      <c r="I27" s="582"/>
      <c r="J27" s="582"/>
    </row>
    <row r="29" spans="1:10">
      <c r="E29" s="581"/>
      <c r="F29" s="581"/>
      <c r="G29" s="581"/>
      <c r="H29" s="581"/>
      <c r="I29" s="581"/>
      <c r="J29" s="581"/>
    </row>
    <row r="30" spans="1:10">
      <c r="E30" s="581"/>
      <c r="F30" s="581"/>
      <c r="G30" s="581"/>
      <c r="H30" s="581"/>
      <c r="I30" s="581"/>
      <c r="J30" s="581"/>
    </row>
  </sheetData>
  <pageMargins left="0.7" right="0.7" top="0.75" bottom="0.75" header="0.3" footer="0.3"/>
  <pageSetup scale="79" orientation="landscape"/>
  <colBreaks count="1" manualBreakCount="1">
    <brk id="10"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J59"/>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ColWidth="9" defaultRowHeight="15"/>
  <cols>
    <col min="1" max="1" width="43.42578125" style="593" customWidth="1"/>
    <col min="2" max="3" width="9" style="593" bestFit="1" customWidth="1"/>
    <col min="4" max="4" width="10.140625" style="593" customWidth="1"/>
    <col min="5" max="5" width="10" style="593" customWidth="1"/>
    <col min="6" max="9" width="8.28515625" style="593" bestFit="1" customWidth="1"/>
    <col min="10" max="16384" width="9" style="593"/>
  </cols>
  <sheetData>
    <row r="2" spans="1:10">
      <c r="A2" s="591" t="s">
        <v>235</v>
      </c>
      <c r="B2" s="592" t="s">
        <v>212</v>
      </c>
      <c r="C2" s="592" t="s">
        <v>213</v>
      </c>
      <c r="D2" s="592" t="s">
        <v>214</v>
      </c>
      <c r="E2" s="592" t="s">
        <v>215</v>
      </c>
      <c r="F2" s="592" t="s">
        <v>216</v>
      </c>
      <c r="G2" s="592" t="s">
        <v>217</v>
      </c>
      <c r="H2" s="592" t="s">
        <v>218</v>
      </c>
      <c r="I2" s="592" t="s">
        <v>219</v>
      </c>
      <c r="J2" s="592" t="s">
        <v>220</v>
      </c>
    </row>
    <row r="3" spans="1:10" hidden="1"/>
    <row r="5" spans="1:10">
      <c r="A5" s="593" t="s">
        <v>221</v>
      </c>
      <c r="B5" s="594">
        <v>2266.3000000000002</v>
      </c>
      <c r="C5" s="594">
        <v>2494.5</v>
      </c>
      <c r="D5" s="594">
        <v>2675.2</v>
      </c>
      <c r="E5" s="594">
        <v>2900.3</v>
      </c>
      <c r="F5" s="594">
        <v>3151.3</v>
      </c>
      <c r="G5" s="594">
        <v>3276.2</v>
      </c>
      <c r="H5" s="594">
        <v>3416</v>
      </c>
      <c r="I5" s="594">
        <v>3546.6</v>
      </c>
      <c r="J5" s="594">
        <v>3686.1</v>
      </c>
    </row>
    <row r="6" spans="1:10">
      <c r="A6" s="593" t="s">
        <v>223</v>
      </c>
      <c r="B6" s="594">
        <v>875.6</v>
      </c>
      <c r="C6" s="594">
        <v>970.5</v>
      </c>
      <c r="D6" s="594">
        <v>983.2</v>
      </c>
      <c r="E6" s="594">
        <v>1133.5</v>
      </c>
      <c r="F6" s="594">
        <v>1257.4000000000001</v>
      </c>
      <c r="G6" s="594">
        <v>1300.0999999999999</v>
      </c>
      <c r="H6" s="594">
        <v>1359.8</v>
      </c>
      <c r="I6" s="594">
        <v>1404.8</v>
      </c>
      <c r="J6" s="594">
        <v>1463.1</v>
      </c>
    </row>
    <row r="7" spans="1:10">
      <c r="A7" s="593" t="s">
        <v>236</v>
      </c>
      <c r="B7" s="594">
        <v>396.8</v>
      </c>
      <c r="C7" s="594">
        <v>488.3</v>
      </c>
      <c r="D7" s="594">
        <v>470.9</v>
      </c>
      <c r="E7" s="594">
        <v>497</v>
      </c>
      <c r="F7" s="594">
        <v>532.6</v>
      </c>
      <c r="G7" s="594">
        <v>552.29999999999995</v>
      </c>
      <c r="H7" s="594">
        <v>574.79999999999995</v>
      </c>
      <c r="I7" s="594">
        <v>597.29999999999995</v>
      </c>
      <c r="J7" s="594">
        <v>620.70000000000005</v>
      </c>
    </row>
    <row r="8" spans="1:10">
      <c r="A8" s="593" t="s">
        <v>237</v>
      </c>
      <c r="B8" s="594">
        <v>215.2</v>
      </c>
      <c r="C8" s="594">
        <v>248.2</v>
      </c>
      <c r="D8" s="594">
        <v>281.39999999999998</v>
      </c>
      <c r="E8" s="594">
        <v>360.9</v>
      </c>
      <c r="F8" s="594">
        <v>402.7</v>
      </c>
      <c r="G8" s="594">
        <v>418.1</v>
      </c>
      <c r="H8" s="594">
        <v>435</v>
      </c>
      <c r="I8" s="594">
        <v>452.4</v>
      </c>
      <c r="J8" s="594">
        <v>470.5</v>
      </c>
    </row>
    <row r="9" spans="1:10">
      <c r="A9" s="593" t="s">
        <v>238</v>
      </c>
      <c r="B9" s="594">
        <v>0</v>
      </c>
      <c r="C9" s="594">
        <v>0</v>
      </c>
      <c r="D9" s="594">
        <v>0</v>
      </c>
      <c r="E9" s="594">
        <v>0</v>
      </c>
      <c r="F9" s="594">
        <v>0</v>
      </c>
      <c r="G9" s="594">
        <v>0</v>
      </c>
      <c r="H9" s="594">
        <v>0</v>
      </c>
      <c r="I9" s="594">
        <v>0</v>
      </c>
      <c r="J9" s="594">
        <v>0</v>
      </c>
    </row>
    <row r="10" spans="1:10">
      <c r="A10" s="593" t="s">
        <v>239</v>
      </c>
      <c r="B10" s="594">
        <v>36.299999999999997</v>
      </c>
      <c r="C10" s="594">
        <v>3.2</v>
      </c>
      <c r="D10" s="594">
        <v>0</v>
      </c>
      <c r="E10" s="594">
        <v>0</v>
      </c>
      <c r="F10" s="594">
        <v>0</v>
      </c>
      <c r="G10" s="594">
        <v>0</v>
      </c>
      <c r="H10" s="594">
        <v>0</v>
      </c>
      <c r="I10" s="594">
        <v>0</v>
      </c>
      <c r="J10" s="594">
        <v>0</v>
      </c>
    </row>
    <row r="11" spans="1:10">
      <c r="A11" s="593" t="s">
        <v>240</v>
      </c>
      <c r="B11" s="594">
        <v>132.80000000000001</v>
      </c>
      <c r="C11" s="594">
        <v>135.4</v>
      </c>
      <c r="D11" s="594">
        <v>137.5</v>
      </c>
      <c r="E11" s="594">
        <v>135.69999999999999</v>
      </c>
      <c r="F11" s="594">
        <v>144.5</v>
      </c>
      <c r="G11" s="594">
        <v>157.6</v>
      </c>
      <c r="H11" s="594">
        <v>163.5</v>
      </c>
      <c r="I11" s="594">
        <v>171.1</v>
      </c>
      <c r="J11" s="594">
        <v>179.1</v>
      </c>
    </row>
    <row r="12" spans="1:10">
      <c r="A12" s="593" t="s">
        <v>241</v>
      </c>
      <c r="B12" s="594">
        <v>0</v>
      </c>
      <c r="C12" s="594">
        <v>0</v>
      </c>
      <c r="D12" s="594">
        <v>0</v>
      </c>
      <c r="E12" s="594">
        <v>0</v>
      </c>
      <c r="F12" s="594">
        <v>0</v>
      </c>
      <c r="G12" s="594">
        <v>0</v>
      </c>
      <c r="H12" s="594">
        <v>0</v>
      </c>
      <c r="I12" s="594">
        <v>0</v>
      </c>
      <c r="J12" s="594">
        <v>0</v>
      </c>
    </row>
    <row r="13" spans="1:10">
      <c r="A13" s="593" t="s">
        <v>242</v>
      </c>
      <c r="B13" s="594">
        <v>29</v>
      </c>
      <c r="C13" s="594">
        <v>32.6</v>
      </c>
      <c r="D13" s="594">
        <v>48.7</v>
      </c>
      <c r="E13" s="594">
        <v>50.6</v>
      </c>
      <c r="F13" s="594">
        <v>52.3</v>
      </c>
      <c r="G13" s="594">
        <v>42.2</v>
      </c>
      <c r="H13" s="594">
        <v>51.5</v>
      </c>
      <c r="I13" s="594">
        <v>43.4</v>
      </c>
      <c r="J13" s="594">
        <v>46.6</v>
      </c>
    </row>
    <row r="14" spans="1:10">
      <c r="A14" s="593" t="s">
        <v>243</v>
      </c>
      <c r="B14" s="594">
        <v>65.5</v>
      </c>
      <c r="C14" s="594">
        <v>62.7</v>
      </c>
      <c r="D14" s="594">
        <v>44.8</v>
      </c>
      <c r="E14" s="594">
        <v>89.2</v>
      </c>
      <c r="F14" s="594">
        <v>125.3</v>
      </c>
      <c r="G14" s="594">
        <v>129.9</v>
      </c>
      <c r="H14" s="594">
        <v>135.1</v>
      </c>
      <c r="I14" s="594">
        <v>140.5</v>
      </c>
      <c r="J14" s="594">
        <v>146.19999999999999</v>
      </c>
    </row>
    <row r="15" spans="1:10">
      <c r="B15" s="594"/>
      <c r="C15" s="594"/>
      <c r="D15" s="594"/>
      <c r="E15" s="594"/>
      <c r="F15" s="594"/>
      <c r="G15" s="594"/>
      <c r="H15" s="594"/>
      <c r="I15" s="594"/>
      <c r="J15" s="594"/>
    </row>
    <row r="16" spans="1:10">
      <c r="A16" s="593" t="s">
        <v>224</v>
      </c>
      <c r="B16" s="594">
        <v>1390.7</v>
      </c>
      <c r="C16" s="594">
        <v>1524</v>
      </c>
      <c r="D16" s="594">
        <v>1691.9</v>
      </c>
      <c r="E16" s="594">
        <v>1766.9</v>
      </c>
      <c r="F16" s="594">
        <v>1893.9</v>
      </c>
      <c r="G16" s="594">
        <v>1976.1</v>
      </c>
      <c r="H16" s="594">
        <v>2056.1999999999998</v>
      </c>
      <c r="I16" s="594">
        <v>2141.9</v>
      </c>
      <c r="J16" s="594">
        <v>2223</v>
      </c>
    </row>
    <row r="17" spans="1:10">
      <c r="A17" s="593" t="s">
        <v>244</v>
      </c>
      <c r="B17" s="594">
        <v>0</v>
      </c>
      <c r="C17" s="594">
        <v>0</v>
      </c>
      <c r="D17" s="594">
        <v>0</v>
      </c>
      <c r="E17" s="594">
        <v>0</v>
      </c>
      <c r="F17" s="594">
        <v>0</v>
      </c>
      <c r="G17" s="594">
        <v>0</v>
      </c>
      <c r="H17" s="594">
        <v>0</v>
      </c>
      <c r="I17" s="594">
        <v>0</v>
      </c>
      <c r="J17" s="594">
        <v>0</v>
      </c>
    </row>
    <row r="18" spans="1:10">
      <c r="A18" s="593" t="s">
        <v>245</v>
      </c>
      <c r="B18" s="594">
        <v>10.1</v>
      </c>
      <c r="C18" s="594">
        <v>9.4</v>
      </c>
      <c r="D18" s="594">
        <v>10.4</v>
      </c>
      <c r="E18" s="594">
        <v>10.6</v>
      </c>
      <c r="F18" s="594">
        <v>11.1</v>
      </c>
      <c r="G18" s="594">
        <v>11.5</v>
      </c>
      <c r="H18" s="594">
        <v>14.7</v>
      </c>
      <c r="I18" s="594">
        <v>14.1</v>
      </c>
      <c r="J18" s="594">
        <v>11.9</v>
      </c>
    </row>
    <row r="19" spans="1:10">
      <c r="A19" s="593" t="s">
        <v>246</v>
      </c>
      <c r="B19" s="594">
        <v>861.4</v>
      </c>
      <c r="C19" s="594">
        <v>890.3</v>
      </c>
      <c r="D19" s="594">
        <v>891.3</v>
      </c>
      <c r="E19" s="594">
        <v>913.9</v>
      </c>
      <c r="F19" s="594">
        <v>959.9</v>
      </c>
      <c r="G19" s="594">
        <v>997.3</v>
      </c>
      <c r="H19" s="594">
        <v>1037.7</v>
      </c>
      <c r="I19" s="594">
        <v>1078.8</v>
      </c>
      <c r="J19" s="594">
        <v>1120.7</v>
      </c>
    </row>
    <row r="20" spans="1:10">
      <c r="A20" s="593" t="s">
        <v>247</v>
      </c>
      <c r="B20" s="594">
        <v>169</v>
      </c>
      <c r="C20" s="594">
        <v>225.6</v>
      </c>
      <c r="D20" s="594">
        <v>303.3</v>
      </c>
      <c r="E20" s="594">
        <v>321.89999999999998</v>
      </c>
      <c r="F20" s="594">
        <v>328.6</v>
      </c>
      <c r="G20" s="594">
        <v>342.7</v>
      </c>
      <c r="H20" s="594">
        <v>355.8</v>
      </c>
      <c r="I20" s="594">
        <v>370</v>
      </c>
      <c r="J20" s="594">
        <v>390.9</v>
      </c>
    </row>
    <row r="21" spans="1:10">
      <c r="A21" s="593" t="s">
        <v>248</v>
      </c>
      <c r="B21" s="594">
        <v>231.6</v>
      </c>
      <c r="C21" s="594">
        <v>245.2</v>
      </c>
      <c r="D21" s="594">
        <v>218.6</v>
      </c>
      <c r="E21" s="594">
        <v>227.7</v>
      </c>
      <c r="F21" s="594">
        <v>233.1</v>
      </c>
      <c r="G21" s="594">
        <v>246.6</v>
      </c>
      <c r="H21" s="594">
        <v>255.8</v>
      </c>
      <c r="I21" s="594">
        <v>273.2</v>
      </c>
      <c r="J21" s="594">
        <v>286.39999999999998</v>
      </c>
    </row>
    <row r="22" spans="1:10">
      <c r="A22" s="593" t="s">
        <v>249</v>
      </c>
      <c r="B22" s="594">
        <v>0</v>
      </c>
      <c r="C22" s="594">
        <v>0</v>
      </c>
      <c r="D22" s="594">
        <v>0</v>
      </c>
      <c r="E22" s="594">
        <v>0</v>
      </c>
      <c r="F22" s="594">
        <v>0</v>
      </c>
      <c r="G22" s="594">
        <v>0</v>
      </c>
      <c r="H22" s="594">
        <v>0</v>
      </c>
      <c r="I22" s="594">
        <v>0</v>
      </c>
      <c r="J22" s="594">
        <v>0</v>
      </c>
    </row>
    <row r="23" spans="1:10">
      <c r="A23" s="593" t="s">
        <v>250</v>
      </c>
      <c r="B23" s="594">
        <v>0</v>
      </c>
      <c r="C23" s="594">
        <v>29.3</v>
      </c>
      <c r="D23" s="594">
        <v>152.30000000000001</v>
      </c>
      <c r="E23" s="594">
        <v>46.6</v>
      </c>
      <c r="F23" s="594">
        <v>0</v>
      </c>
      <c r="G23" s="594">
        <v>0</v>
      </c>
      <c r="H23" s="594">
        <v>0</v>
      </c>
      <c r="I23" s="594">
        <v>0</v>
      </c>
      <c r="J23" s="594">
        <v>0</v>
      </c>
    </row>
    <row r="24" spans="1:10">
      <c r="A24" s="593" t="s">
        <v>243</v>
      </c>
      <c r="B24" s="594">
        <v>118.6</v>
      </c>
      <c r="C24" s="594">
        <v>124.3</v>
      </c>
      <c r="D24" s="594">
        <v>115.9</v>
      </c>
      <c r="E24" s="594">
        <v>246.2</v>
      </c>
      <c r="F24" s="594">
        <v>361.3</v>
      </c>
      <c r="G24" s="594">
        <v>377.9</v>
      </c>
      <c r="H24" s="594">
        <v>392.2</v>
      </c>
      <c r="I24" s="594">
        <v>405.8</v>
      </c>
      <c r="J24" s="594">
        <v>413.1</v>
      </c>
    </row>
    <row r="25" spans="1:10">
      <c r="B25" s="594"/>
      <c r="C25" s="594"/>
      <c r="D25" s="594"/>
      <c r="E25" s="594"/>
      <c r="F25" s="594"/>
      <c r="G25" s="594"/>
      <c r="H25" s="594"/>
      <c r="I25" s="594"/>
      <c r="J25" s="594"/>
    </row>
    <row r="26" spans="1:10">
      <c r="A26" s="593" t="s">
        <v>251</v>
      </c>
      <c r="B26" s="594">
        <v>192.1</v>
      </c>
      <c r="C26" s="594">
        <v>259.5</v>
      </c>
      <c r="D26" s="594">
        <v>189.1</v>
      </c>
      <c r="E26" s="594">
        <v>199.5</v>
      </c>
      <c r="F26" s="594">
        <v>207.4</v>
      </c>
      <c r="G26" s="594">
        <v>214.7</v>
      </c>
      <c r="H26" s="594">
        <v>219.9</v>
      </c>
      <c r="I26" s="594">
        <v>224.5</v>
      </c>
      <c r="J26" s="594">
        <v>234.1</v>
      </c>
    </row>
    <row r="27" spans="1:10">
      <c r="A27" s="593" t="s">
        <v>252</v>
      </c>
      <c r="B27" s="594">
        <v>147.5</v>
      </c>
      <c r="C27" s="594">
        <v>228.4</v>
      </c>
      <c r="D27" s="594">
        <v>149</v>
      </c>
      <c r="E27" s="594">
        <v>152.69999999999999</v>
      </c>
      <c r="F27" s="594">
        <v>162.1</v>
      </c>
      <c r="G27" s="594">
        <v>168.5</v>
      </c>
      <c r="H27" s="594">
        <v>172</v>
      </c>
      <c r="I27" s="594">
        <v>175.6</v>
      </c>
      <c r="J27" s="594">
        <v>184.2</v>
      </c>
    </row>
    <row r="28" spans="1:10">
      <c r="A28" s="593" t="s">
        <v>253</v>
      </c>
      <c r="B28" s="594">
        <v>18.100000000000001</v>
      </c>
      <c r="C28" s="594">
        <v>9.8000000000000007</v>
      </c>
      <c r="D28" s="594">
        <v>22</v>
      </c>
      <c r="E28" s="594">
        <v>28.3</v>
      </c>
      <c r="F28" s="594">
        <v>26.4</v>
      </c>
      <c r="G28" s="594">
        <v>26.9</v>
      </c>
      <c r="H28" s="594">
        <v>28.2</v>
      </c>
      <c r="I28" s="594">
        <v>28.8</v>
      </c>
      <c r="J28" s="594">
        <v>29.4</v>
      </c>
    </row>
    <row r="29" spans="1:10">
      <c r="A29" s="593" t="s">
        <v>254</v>
      </c>
      <c r="B29" s="594">
        <v>26.4</v>
      </c>
      <c r="C29" s="594">
        <v>21.3</v>
      </c>
      <c r="D29" s="594">
        <v>18.100000000000001</v>
      </c>
      <c r="E29" s="594">
        <v>18.5</v>
      </c>
      <c r="F29" s="594">
        <v>18.899999999999999</v>
      </c>
      <c r="G29" s="594">
        <v>19.3</v>
      </c>
      <c r="H29" s="594">
        <v>19.7</v>
      </c>
      <c r="I29" s="594">
        <v>20.100000000000001</v>
      </c>
      <c r="J29" s="594">
        <v>20.5</v>
      </c>
    </row>
    <row r="30" spans="1:10">
      <c r="B30" s="594"/>
      <c r="C30" s="594"/>
      <c r="D30" s="594"/>
      <c r="E30" s="594"/>
      <c r="F30" s="594"/>
      <c r="G30" s="594"/>
      <c r="H30" s="594"/>
      <c r="I30" s="594"/>
      <c r="J30" s="594"/>
    </row>
    <row r="31" spans="1:10">
      <c r="A31" s="593" t="s">
        <v>226</v>
      </c>
      <c r="B31" s="594">
        <v>3085.5</v>
      </c>
      <c r="C31" s="594">
        <v>3053</v>
      </c>
      <c r="D31" s="594">
        <v>3123.7</v>
      </c>
      <c r="E31" s="594">
        <v>3038.5</v>
      </c>
      <c r="F31" s="594">
        <v>2695.9</v>
      </c>
      <c r="G31" s="594">
        <v>2765.3</v>
      </c>
      <c r="H31" s="594">
        <v>2901.5</v>
      </c>
      <c r="I31" s="594">
        <v>3118.1</v>
      </c>
      <c r="J31" s="594">
        <v>3424.7</v>
      </c>
    </row>
    <row r="32" spans="1:10">
      <c r="A32" s="593" t="s">
        <v>227</v>
      </c>
      <c r="B32" s="594">
        <v>787.2</v>
      </c>
      <c r="C32" s="594">
        <v>784.4</v>
      </c>
      <c r="D32" s="594">
        <v>782.2</v>
      </c>
      <c r="E32" s="594">
        <v>826</v>
      </c>
      <c r="F32" s="594">
        <v>841.5</v>
      </c>
      <c r="G32" s="594">
        <v>866.6</v>
      </c>
      <c r="H32" s="594">
        <v>904.3</v>
      </c>
      <c r="I32" s="594">
        <v>938.8</v>
      </c>
      <c r="J32" s="594">
        <v>980.7</v>
      </c>
    </row>
    <row r="33" spans="1:10">
      <c r="A33" s="593" t="s">
        <v>228</v>
      </c>
      <c r="B33" s="594">
        <v>441.3</v>
      </c>
      <c r="C33" s="594">
        <v>385.4</v>
      </c>
      <c r="D33" s="594">
        <v>364.3</v>
      </c>
      <c r="E33" s="594">
        <v>381.1</v>
      </c>
      <c r="F33" s="594">
        <v>387.1</v>
      </c>
      <c r="G33" s="594">
        <v>398.4</v>
      </c>
      <c r="H33" s="594">
        <v>420.6</v>
      </c>
      <c r="I33" s="594">
        <v>432.3</v>
      </c>
      <c r="J33" s="594">
        <v>454.6</v>
      </c>
    </row>
    <row r="34" spans="1:10">
      <c r="A34" s="593" t="s">
        <v>229</v>
      </c>
      <c r="B34" s="594">
        <v>672.5</v>
      </c>
      <c r="C34" s="594">
        <v>741.7</v>
      </c>
      <c r="D34" s="594">
        <v>764.7</v>
      </c>
      <c r="E34" s="594">
        <v>564.5</v>
      </c>
      <c r="F34" s="594">
        <v>267.10000000000002</v>
      </c>
      <c r="G34" s="594">
        <v>265</v>
      </c>
      <c r="H34" s="594">
        <v>293.3</v>
      </c>
      <c r="I34" s="594">
        <v>408</v>
      </c>
      <c r="J34" s="594">
        <v>602.29999999999995</v>
      </c>
    </row>
    <row r="35" spans="1:10">
      <c r="A35" s="593" t="s">
        <v>255</v>
      </c>
      <c r="B35" s="594">
        <v>163.69999999999999</v>
      </c>
      <c r="C35" s="594">
        <v>168</v>
      </c>
      <c r="D35" s="594">
        <v>168</v>
      </c>
      <c r="E35" s="594">
        <v>67.3</v>
      </c>
      <c r="F35" s="594">
        <v>127.9</v>
      </c>
      <c r="G35" s="594">
        <v>135.30000000000001</v>
      </c>
      <c r="H35" s="594">
        <v>165.2</v>
      </c>
      <c r="I35" s="594">
        <v>201.8</v>
      </c>
      <c r="J35" s="594">
        <v>247.1</v>
      </c>
    </row>
    <row r="36" spans="1:10">
      <c r="A36" s="593" t="s">
        <v>256</v>
      </c>
      <c r="B36" s="594">
        <v>508.8</v>
      </c>
      <c r="C36" s="594">
        <v>573.70000000000005</v>
      </c>
      <c r="D36" s="594">
        <v>596.70000000000005</v>
      </c>
      <c r="E36" s="594">
        <v>497.1</v>
      </c>
      <c r="F36" s="594">
        <v>139.19999999999999</v>
      </c>
      <c r="G36" s="594">
        <v>129.69999999999999</v>
      </c>
      <c r="H36" s="594">
        <v>128.1</v>
      </c>
      <c r="I36" s="594">
        <v>206.2</v>
      </c>
      <c r="J36" s="594">
        <v>355.2</v>
      </c>
    </row>
    <row r="37" spans="1:10">
      <c r="A37" s="593" t="s">
        <v>230</v>
      </c>
      <c r="B37" s="594">
        <v>1184.5</v>
      </c>
      <c r="C37" s="594">
        <v>1141.5</v>
      </c>
      <c r="D37" s="594">
        <v>1212.5</v>
      </c>
      <c r="E37" s="594">
        <v>1266.9000000000001</v>
      </c>
      <c r="F37" s="594">
        <v>1200.2</v>
      </c>
      <c r="G37" s="594">
        <v>1235.3</v>
      </c>
      <c r="H37" s="594">
        <v>1283.3</v>
      </c>
      <c r="I37" s="594">
        <v>1339</v>
      </c>
      <c r="J37" s="594">
        <v>1387</v>
      </c>
    </row>
    <row r="38" spans="1:10">
      <c r="A38" s="593" t="s">
        <v>257</v>
      </c>
      <c r="B38" s="594">
        <v>342.1</v>
      </c>
      <c r="C38" s="594">
        <v>327.3</v>
      </c>
      <c r="D38" s="594">
        <v>358.2</v>
      </c>
      <c r="E38" s="594">
        <v>381.3</v>
      </c>
      <c r="F38" s="594">
        <v>390.3</v>
      </c>
      <c r="G38" s="594">
        <v>401.7</v>
      </c>
      <c r="H38" s="594">
        <v>414.1</v>
      </c>
      <c r="I38" s="594">
        <v>435.6</v>
      </c>
      <c r="J38" s="594">
        <v>448.1</v>
      </c>
    </row>
    <row r="39" spans="1:10">
      <c r="A39" s="593" t="s">
        <v>258</v>
      </c>
      <c r="B39" s="594">
        <v>729.6</v>
      </c>
      <c r="C39" s="594">
        <v>714.4</v>
      </c>
      <c r="D39" s="594">
        <v>761.2</v>
      </c>
      <c r="E39" s="594">
        <v>790.1</v>
      </c>
      <c r="F39" s="594">
        <v>714.1</v>
      </c>
      <c r="G39" s="594">
        <v>735</v>
      </c>
      <c r="H39" s="594">
        <v>767.6</v>
      </c>
      <c r="I39" s="594">
        <v>798.9</v>
      </c>
      <c r="J39" s="594">
        <v>831.6</v>
      </c>
    </row>
    <row r="40" spans="1:10">
      <c r="A40" s="593" t="s">
        <v>259</v>
      </c>
      <c r="B40" s="594">
        <v>60.5</v>
      </c>
      <c r="C40" s="594">
        <v>47.8</v>
      </c>
      <c r="D40" s="594">
        <v>51.9</v>
      </c>
      <c r="E40" s="594">
        <v>52.6</v>
      </c>
      <c r="F40" s="594">
        <v>51.6</v>
      </c>
      <c r="G40" s="594">
        <v>53.2</v>
      </c>
      <c r="H40" s="594">
        <v>54.8</v>
      </c>
      <c r="I40" s="594">
        <v>56.3</v>
      </c>
      <c r="J40" s="594">
        <v>57.9</v>
      </c>
    </row>
    <row r="41" spans="1:10">
      <c r="A41" s="593" t="s">
        <v>260</v>
      </c>
      <c r="B41" s="594">
        <v>19.899999999999999</v>
      </c>
      <c r="C41" s="594">
        <v>19.399999999999999</v>
      </c>
      <c r="D41" s="594">
        <v>22.2</v>
      </c>
      <c r="E41" s="594">
        <v>23.1</v>
      </c>
      <c r="F41" s="594">
        <v>23.7</v>
      </c>
      <c r="G41" s="594">
        <v>24.4</v>
      </c>
      <c r="H41" s="594">
        <v>25.2</v>
      </c>
      <c r="I41" s="594">
        <v>25.9</v>
      </c>
      <c r="J41" s="594">
        <v>26.6</v>
      </c>
    </row>
    <row r="42" spans="1:10">
      <c r="A42" s="593" t="s">
        <v>261</v>
      </c>
      <c r="B42" s="594">
        <v>32.299999999999997</v>
      </c>
      <c r="C42" s="594">
        <v>32.700000000000003</v>
      </c>
      <c r="D42" s="594">
        <v>19</v>
      </c>
      <c r="E42" s="594">
        <v>19.899999999999999</v>
      </c>
      <c r="F42" s="594">
        <v>20.399999999999999</v>
      </c>
      <c r="G42" s="594">
        <v>21</v>
      </c>
      <c r="H42" s="594">
        <v>21.6</v>
      </c>
      <c r="I42" s="594">
        <v>22.2</v>
      </c>
      <c r="J42" s="594">
        <v>22.9</v>
      </c>
    </row>
    <row r="43" spans="1:10">
      <c r="A43" s="593" t="s">
        <v>262</v>
      </c>
      <c r="B43" s="594">
        <v>0</v>
      </c>
      <c r="C43" s="594">
        <v>0</v>
      </c>
      <c r="D43" s="594">
        <v>0</v>
      </c>
      <c r="E43" s="594">
        <v>0</v>
      </c>
      <c r="F43" s="594">
        <v>0</v>
      </c>
      <c r="G43" s="594">
        <v>0</v>
      </c>
      <c r="H43" s="594">
        <v>0</v>
      </c>
      <c r="I43" s="594">
        <v>0</v>
      </c>
      <c r="J43" s="594">
        <v>0</v>
      </c>
    </row>
    <row r="44" spans="1:10">
      <c r="A44" s="593" t="s">
        <v>263</v>
      </c>
      <c r="B44" s="594">
        <v>0</v>
      </c>
      <c r="C44" s="594">
        <v>0</v>
      </c>
      <c r="D44" s="594">
        <v>0</v>
      </c>
      <c r="E44" s="594">
        <v>0</v>
      </c>
      <c r="F44" s="594">
        <v>0</v>
      </c>
      <c r="G44" s="594">
        <v>0</v>
      </c>
      <c r="H44" s="594">
        <v>0</v>
      </c>
      <c r="I44" s="594">
        <v>0</v>
      </c>
      <c r="J44" s="594">
        <v>0</v>
      </c>
    </row>
    <row r="45" spans="1:10">
      <c r="B45" s="594"/>
      <c r="C45" s="594"/>
      <c r="D45" s="594"/>
      <c r="E45" s="594"/>
      <c r="F45" s="594"/>
      <c r="G45" s="594"/>
      <c r="H45" s="594"/>
      <c r="I45" s="594"/>
      <c r="J45" s="594"/>
    </row>
    <row r="46" spans="1:10">
      <c r="A46" s="593" t="s">
        <v>231</v>
      </c>
      <c r="B46" s="594">
        <v>236.3</v>
      </c>
      <c r="C46" s="594">
        <v>225.1</v>
      </c>
      <c r="D46" s="594">
        <v>171.8</v>
      </c>
      <c r="E46" s="594">
        <v>280.39999999999998</v>
      </c>
      <c r="F46" s="594">
        <v>278.89999999999998</v>
      </c>
      <c r="G46" s="594">
        <v>316</v>
      </c>
      <c r="H46" s="594">
        <v>326</v>
      </c>
      <c r="I46" s="594">
        <v>342</v>
      </c>
      <c r="J46" s="594">
        <v>340.2</v>
      </c>
    </row>
    <row r="47" spans="1:10">
      <c r="A47" s="593" t="s">
        <v>264</v>
      </c>
      <c r="B47" s="594">
        <v>216.6</v>
      </c>
      <c r="C47" s="594">
        <v>205.4</v>
      </c>
      <c r="D47" s="594">
        <v>149.1</v>
      </c>
      <c r="E47" s="594">
        <v>256.2</v>
      </c>
      <c r="F47" s="594">
        <v>234.1</v>
      </c>
      <c r="G47" s="594">
        <v>268.10000000000002</v>
      </c>
      <c r="H47" s="594">
        <v>280.10000000000002</v>
      </c>
      <c r="I47" s="594">
        <v>296.10000000000002</v>
      </c>
      <c r="J47" s="594">
        <v>299.10000000000002</v>
      </c>
    </row>
    <row r="48" spans="1:10">
      <c r="A48" s="593" t="s">
        <v>265</v>
      </c>
      <c r="B48" s="594">
        <v>19.7</v>
      </c>
      <c r="C48" s="594">
        <v>19.7</v>
      </c>
      <c r="D48" s="594">
        <v>22.7</v>
      </c>
      <c r="E48" s="594">
        <v>24.2</v>
      </c>
      <c r="F48" s="594">
        <v>44.8</v>
      </c>
      <c r="G48" s="594">
        <v>47.9</v>
      </c>
      <c r="H48" s="594">
        <v>45.9</v>
      </c>
      <c r="I48" s="594">
        <v>45.9</v>
      </c>
      <c r="J48" s="594">
        <v>41.1</v>
      </c>
    </row>
    <row r="49" spans="1:10">
      <c r="B49" s="594"/>
      <c r="C49" s="594"/>
      <c r="D49" s="594"/>
      <c r="E49" s="594"/>
      <c r="F49" s="594"/>
      <c r="G49" s="594"/>
      <c r="H49" s="594"/>
      <c r="I49" s="594"/>
      <c r="J49" s="594"/>
    </row>
    <row r="50" spans="1:10">
      <c r="A50" s="593" t="s">
        <v>232</v>
      </c>
      <c r="B50" s="594">
        <v>-863.4</v>
      </c>
      <c r="C50" s="594">
        <v>-524.1</v>
      </c>
      <c r="D50" s="594">
        <v>-431.2</v>
      </c>
      <c r="E50" s="594">
        <v>-219</v>
      </c>
      <c r="F50" s="594">
        <v>383.8</v>
      </c>
      <c r="G50" s="594">
        <v>409.6</v>
      </c>
      <c r="H50" s="594">
        <v>408.4</v>
      </c>
      <c r="I50" s="594">
        <v>311</v>
      </c>
      <c r="J50" s="594">
        <v>155.4</v>
      </c>
    </row>
    <row r="51" spans="1:10">
      <c r="A51" s="593" t="s">
        <v>233</v>
      </c>
      <c r="B51" s="594">
        <v>-190.8</v>
      </c>
      <c r="C51" s="594">
        <v>217.6</v>
      </c>
      <c r="D51" s="594">
        <v>333.5</v>
      </c>
      <c r="E51" s="594">
        <v>345.4</v>
      </c>
      <c r="F51" s="594">
        <v>650.9</v>
      </c>
      <c r="G51" s="594">
        <v>674.5</v>
      </c>
      <c r="H51" s="594">
        <v>701.7</v>
      </c>
      <c r="I51" s="594">
        <v>719</v>
      </c>
      <c r="J51" s="594">
        <v>757.7</v>
      </c>
    </row>
    <row r="53" spans="1:10">
      <c r="A53" s="593" t="s">
        <v>232</v>
      </c>
      <c r="B53" s="594">
        <v>-9</v>
      </c>
      <c r="C53" s="594">
        <v>-5.3</v>
      </c>
      <c r="D53" s="594">
        <v>-4.3</v>
      </c>
      <c r="E53" s="594">
        <v>-2.1</v>
      </c>
      <c r="F53" s="594">
        <v>3.6</v>
      </c>
      <c r="G53" s="594">
        <v>3.7</v>
      </c>
      <c r="H53" s="594">
        <v>3.5</v>
      </c>
      <c r="I53" s="594">
        <v>2.6</v>
      </c>
      <c r="J53" s="594">
        <v>1.2</v>
      </c>
    </row>
    <row r="54" spans="1:10">
      <c r="A54" s="593" t="s">
        <v>233</v>
      </c>
      <c r="B54" s="594">
        <v>-2</v>
      </c>
      <c r="C54" s="594">
        <v>2.2000000000000002</v>
      </c>
      <c r="D54" s="594">
        <v>3.3</v>
      </c>
      <c r="E54" s="594">
        <v>3.3</v>
      </c>
      <c r="F54" s="594">
        <v>6</v>
      </c>
      <c r="G54" s="594">
        <v>6</v>
      </c>
      <c r="H54" s="594">
        <v>6</v>
      </c>
      <c r="I54" s="594">
        <v>6</v>
      </c>
      <c r="J54" s="594">
        <v>6</v>
      </c>
    </row>
    <row r="55" spans="1:10">
      <c r="E55" s="594"/>
      <c r="F55" s="594"/>
      <c r="G55" s="594"/>
      <c r="H55" s="594"/>
      <c r="I55" s="594"/>
      <c r="J55" s="594"/>
    </row>
    <row r="56" spans="1:10">
      <c r="A56" s="593" t="s">
        <v>533</v>
      </c>
      <c r="B56" s="593">
        <v>9548.7803257972591</v>
      </c>
      <c r="C56" s="593">
        <v>9819.1457965916197</v>
      </c>
      <c r="D56" s="593">
        <v>10044.1606901043</v>
      </c>
      <c r="E56" s="593">
        <v>10368.050041332601</v>
      </c>
      <c r="F56" s="593">
        <v>10773.1401211785</v>
      </c>
      <c r="G56" s="593">
        <v>11168.3729923099</v>
      </c>
      <c r="H56" s="593">
        <v>11615.532496973799</v>
      </c>
      <c r="I56" s="593">
        <v>12080.408086395901</v>
      </c>
      <c r="J56" s="593">
        <v>12563.7624752956</v>
      </c>
    </row>
    <row r="58" spans="1:10">
      <c r="E58" s="594"/>
      <c r="F58" s="594"/>
      <c r="G58" s="594"/>
      <c r="H58" s="594"/>
      <c r="I58" s="594"/>
      <c r="J58" s="594"/>
    </row>
    <row r="59" spans="1:10">
      <c r="E59" s="594"/>
      <c r="F59" s="594"/>
      <c r="G59" s="594"/>
      <c r="H59" s="594"/>
      <c r="I59" s="594"/>
      <c r="J59" s="594"/>
    </row>
  </sheetData>
  <pageMargins left="0.7" right="0.7" top="0.75" bottom="0.75" header="0.3" footer="0.3"/>
  <pageSetup scale="63" fitToWidth="0"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Domestic banking system</vt:lpstr>
      <vt:lpstr>External - Balance of Payments</vt:lpstr>
      <vt:lpstr>NIS projections</vt:lpstr>
      <vt:lpstr>Real Economy</vt:lpstr>
      <vt:lpstr>Overdrafts</vt:lpstr>
      <vt:lpstr>Sinking Funds</vt:lpstr>
      <vt:lpstr>Summary of Fiscal adjustment</vt:lpstr>
      <vt:lpstr>Summary of Fiscal</vt:lpstr>
      <vt:lpstr>Fiscal Year Targets</vt:lpstr>
      <vt:lpstr>Budget Measures</vt:lpstr>
      <vt:lpstr>Total Gov Arrears</vt:lpstr>
      <vt:lpstr>Summary Tax Payable</vt:lpstr>
      <vt:lpstr>SOE payables</vt:lpstr>
      <vt:lpstr>CG payables</vt:lpstr>
      <vt:lpstr>CG payables Summary</vt:lpstr>
      <vt:lpstr>NIS Receivables</vt:lpstr>
      <vt:lpstr>SOE receivables</vt:lpstr>
      <vt:lpstr>'Summary of Fiscal adjustment'!Print_Area</vt:lpstr>
      <vt:lpstr>'Summary of Fiscal adjustment'!Print_Titles</vt:lpstr>
    </vt:vector>
  </TitlesOfParts>
  <Company>The Central Bank of Barbados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B. Brathwaite</dc:creator>
  <cp:lastModifiedBy>50thuser</cp:lastModifiedBy>
  <dcterms:created xsi:type="dcterms:W3CDTF">2018-08-09T14:04:22Z</dcterms:created>
  <dcterms:modified xsi:type="dcterms:W3CDTF">2018-08-17T01:40:22Z</dcterms:modified>
</cp:coreProperties>
</file>